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396" windowWidth="12588" windowHeight="7248" tabRatio="935" firstSheet="5" activeTab="10"/>
  </bookViews>
  <sheets>
    <sheet name="Титульный" sheetId="1" r:id="rId1"/>
    <sheet name="ПоказНадежн (Пп)" sheetId="2" r:id="rId2"/>
    <sheet name="ф.1.4 План_Надежность" sheetId="3" r:id="rId3"/>
    <sheet name="ф.3 Техприсоединение" sheetId="4" r:id="rId4"/>
    <sheet name="ф.6.1 ИндИнф (Ин)" sheetId="5" r:id="rId5"/>
    <sheet name="ф.6.2 ИндИспол (Ис)" sheetId="6" r:id="rId6"/>
    <sheet name="ф.6.3 ИндРезул. (Рс)" sheetId="7" r:id="rId7"/>
    <sheet name="ф.6.4 План_Качество" sheetId="8" r:id="rId8"/>
    <sheet name="ПоказКачества (Птсо)" sheetId="9" r:id="rId9"/>
    <sheet name="ф.7.1 Достижение" sheetId="10" r:id="rId10"/>
    <sheet name="ф.7.2 ОбобщПоказ (Коб)" sheetId="11" r:id="rId11"/>
  </sheets>
  <externalReferences>
    <externalReference r:id="rId14"/>
  </externalReferences>
  <definedNames>
    <definedName name="_IDОтчета">178174</definedName>
    <definedName name="_IDШаблона">178176</definedName>
    <definedName name="_prd2">'Титульный'!$C$8</definedName>
    <definedName name="_prd3">'Титульный'!$C$7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'Титульный'!$C$16</definedName>
    <definedName name="add_01">#REF!</definedName>
    <definedName name="add_coms">#REF!</definedName>
    <definedName name="add_date">'ПоказНадежн (Пп)'!$B$2</definedName>
    <definedName name="anscount" hidden="1">1</definedName>
    <definedName name="chkGetUpdatesValue">#REF!</definedName>
    <definedName name="chkNoUpdatesValue">#REF!</definedName>
    <definedName name="code">#REF!</definedName>
    <definedName name="del_01">'ПоказНадежн (Пп)'!$A$19:$A$20</definedName>
    <definedName name="del_coms">#REF!</definedName>
    <definedName name="DL_email">'Титульный'!$D$36</definedName>
    <definedName name="DL_Tel">'Титульный'!$D$35</definedName>
    <definedName name="DocProp_TemplateCode">#REF!</definedName>
    <definedName name="DocProp_Version">#REF!</definedName>
    <definedName name="doljnDL">'Титульный'!$D$34</definedName>
    <definedName name="end_EU">#REF!</definedName>
    <definedName name="F_2_1_block_FACT">'ф.6.1 ИндИнф (Ин)'!$AD$11:$AN$66</definedName>
    <definedName name="F_2_1_block_PLAN">'ф.6.1 ИндИнф (Ин)'!$BD$11:$BN$66</definedName>
    <definedName name="F_2_1_FACT">'ф.6.1 ИндИнф (Ин)'!$R$11:$AN$66</definedName>
    <definedName name="F_2_1_P_1">'ф.6.1 ИндИнф (Ин)'!$L$15:$M$35</definedName>
    <definedName name="F_2_1_P_2">'ф.6.1 ИндИнф (Ин)'!$AS$15:$AS$35</definedName>
    <definedName name="F_2_1_P_3">'ф.6.1 ИндИнф (Ин)'!$AY$15:$AY$35</definedName>
    <definedName name="F_2_1_P_4">'ф.6.1 ИндИнф (Ин)'!$BE$15:$BE$35</definedName>
    <definedName name="F_2_1_P_5">'ф.6.1 ИндИнф (Ин)'!$BK$15:$BK$35</definedName>
    <definedName name="F_2_1_PLAN">'ф.6.1 ИндИнф (Ин)'!$AR$11:$BN$66</definedName>
    <definedName name="F_2_2_block_FACT">#REF!</definedName>
    <definedName name="F_2_2_block_PLAN">#REF!</definedName>
    <definedName name="F_2_2_FACT">#REF!</definedName>
    <definedName name="F_2_2_P_1">#REF!</definedName>
    <definedName name="F_2_2_P_2">#REF!</definedName>
    <definedName name="F_2_2_P_3">#REF!</definedName>
    <definedName name="F_2_2_P_4">#REF!</definedName>
    <definedName name="F_2_2_P_5">#REF!</definedName>
    <definedName name="F_2_2_PLAN">#REF!</definedName>
    <definedName name="F_2_3_block_FACT">'ф.6.3 ИндРезул. (Рс)'!$AD$10:$AN$70</definedName>
    <definedName name="F_2_3_block_PLAN">'ф.6.3 ИндРезул. (Рс)'!$BD$10:$BN$70</definedName>
    <definedName name="F_2_3_FACT">'ф.6.3 ИндРезул. (Рс)'!$R$10:$AN$70</definedName>
    <definedName name="F_2_3_P_1">'ф.6.3 ИндРезул. (Рс)'!$L$13:$M$39</definedName>
    <definedName name="F_2_3_P_2">'ф.6.3 ИндРезул. (Рс)'!$AR$13:$AS$39</definedName>
    <definedName name="F_2_3_P_3">'ф.6.3 ИндРезул. (Рс)'!$AX$13:$AY$39</definedName>
    <definedName name="F_2_3_P_4">'ф.6.3 ИндРезул. (Рс)'!$BD$13:$BE$39</definedName>
    <definedName name="F_2_3_P_5">'ф.6.3 ИндРезул. (Рс)'!$BJ$13:$BK$39</definedName>
    <definedName name="F_2_3_PLAN">'ф.6.3 ИндРезул. (Рс)'!$AR$10:$BN$70</definedName>
    <definedName name="F_2_4_block_FACT">'ф.6.2 ИндИспол (Ис)'!$AD$10:$AN$63</definedName>
    <definedName name="F_2_4_block_PLAN">'ф.6.2 ИндИспол (Ис)'!$BE$10:$BO$63</definedName>
    <definedName name="F_2_4_FACT">'ф.6.2 ИндИспол (Ис)'!$R$10:$AN$63</definedName>
    <definedName name="F_2_4_PLAN">'ф.6.2 ИндИспол (Ис)'!$AR$10:$BO$63</definedName>
    <definedName name="F_2_5_block_FACT">'ф.6.4 План_Качество'!$M$11:$N$55</definedName>
    <definedName name="F_2_5_block_PLAN">'ф.6.4 План_Качество'!$S$11:$T$55</definedName>
    <definedName name="F_2_5_FACT">'ф.6.4 План_Качество'!$K$10:$P$55</definedName>
    <definedName name="F_2_5_PLAN">'ф.6.4 План_Качество'!$Q$10:$T$55</definedName>
    <definedName name="f1_year">'ПоказНадежн (Пп)'!#REF!</definedName>
    <definedName name="f1_year_list">#REF!</definedName>
    <definedName name="f11_ish">'ПоказНадежн (Пп)'!$B$8:$F$19</definedName>
    <definedName name="fil">'Титульный'!$C$13</definedName>
    <definedName name="fil_flag">'Титульный'!$C$12</definedName>
    <definedName name="fioDL">'Титульный'!$D$33</definedName>
    <definedName name="fioGB">'Титульный'!$D$31</definedName>
    <definedName name="fioRUK">'Титульный'!$D$29</definedName>
    <definedName name="FirstLine">#REF!</definedName>
    <definedName name="frm_Months">#REF!</definedName>
    <definedName name="inn">'Титульный'!$C$14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'Титульный'!$C$15</definedName>
    <definedName name="LastUpdateDate_MO">'Титульный'!$C$19</definedName>
    <definedName name="LastUpdateDate_ReestrOrg">'Титульный'!$C$10</definedName>
    <definedName name="LIST_MR_MO_OKTMO">#REF!</definedName>
    <definedName name="LIST_ORG_EE">#REF!</definedName>
    <definedName name="mo">'Титульный'!$C$21</definedName>
    <definedName name="MO_LIST_10">#REF!</definedName>
    <definedName name="MO_LIST_11">#REF!</definedName>
    <definedName name="MO_LIST_12">#REF!</definedName>
    <definedName name="MO_LIST_13">#REF!</definedName>
    <definedName name="MO_LIST_14">#REF!</definedName>
    <definedName name="MO_LIST_15">#REF!</definedName>
    <definedName name="MO_LIST_16">#REF!</definedName>
    <definedName name="MO_LIST_17">#REF!</definedName>
    <definedName name="MO_LIST_18">#REF!</definedName>
    <definedName name="MO_LIST_19">#REF!</definedName>
    <definedName name="MO_LIST_2">#REF!</definedName>
    <definedName name="MO_LIST_20">#REF!</definedName>
    <definedName name="MO_LIST_21">#REF!</definedName>
    <definedName name="MO_LIST_22">#REF!</definedName>
    <definedName name="MO_LIST_23">#REF!</definedName>
    <definedName name="MO_LIST_24">#REF!</definedName>
    <definedName name="MO_LIST_25">#REF!</definedName>
    <definedName name="MO_LIST_26">#REF!</definedName>
    <definedName name="MO_LIST_27">#REF!</definedName>
    <definedName name="MO_LIST_28">#REF!</definedName>
    <definedName name="MO_LIST_29">#REF!</definedName>
    <definedName name="MO_LIST_3">#REF!</definedName>
    <definedName name="MO_LIST_30">#REF!</definedName>
    <definedName name="MO_LIST_31">#REF!</definedName>
    <definedName name="MO_LIST_32">#REF!</definedName>
    <definedName name="MO_LIST_33">#REF!</definedName>
    <definedName name="MO_LIST_34">#REF!</definedName>
    <definedName name="MO_LIST_4">#REF!</definedName>
    <definedName name="MO_LIST_5">#REF!</definedName>
    <definedName name="MO_LIST_6">#REF!</definedName>
    <definedName name="MO_LIST_7">#REF!</definedName>
    <definedName name="MO_LIST_8">#REF!</definedName>
    <definedName name="MO_LIST_9">#REF!</definedName>
    <definedName name="Months">#REF!</definedName>
    <definedName name="mr">'Титульный'!$C$20</definedName>
    <definedName name="MR_LIST">#REF!</definedName>
    <definedName name="okato">'Титульный'!$C$23</definedName>
    <definedName name="okfs">'Титульный'!$C$26</definedName>
    <definedName name="okogu">'Титульный'!$C$24</definedName>
    <definedName name="okopf">'Титульный'!$C$25</definedName>
    <definedName name="okpo">'Титульный'!$C$17</definedName>
    <definedName name="oktmo">'Титульный'!$C$22</definedName>
    <definedName name="okved">'Титульный'!$C$18</definedName>
    <definedName name="org">'Титульный'!$C$11</definedName>
    <definedName name="org_version">'Титульный'!$C$9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#REF!</definedName>
    <definedName name="prd">'Титульный'!$C$6</definedName>
    <definedName name="prdDop">#REF!</definedName>
    <definedName name="PROT_22">P3_PROT_22,P4_PROT_22,P5_PROT_22</definedName>
    <definedName name="Quarter">#REF!</definedName>
    <definedName name="Quarter2">#REF!</definedName>
    <definedName name="REGION">#REF!</definedName>
    <definedName name="region_name">'Титульный'!$C$3</definedName>
    <definedName name="row_1">'ф.6.4 План_Качество'!$27:$35</definedName>
    <definedName name="row_2">'ф.6.4 План_Качество'!$36:$54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hereList">#REF!</definedName>
    <definedName name="SphereList_ru">#REF!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OTAL">P1_TOTAL,P2_TOTAL,P3_TOTAL,P4_TOTAL,P5_TOTAL</definedName>
    <definedName name="type">'Титульный'!$C$5</definedName>
    <definedName name="UpdStatus">#REF!</definedName>
    <definedName name="vdet_list_ee">#REF!</definedName>
    <definedName name="vdet_list_gas">#REF!</definedName>
    <definedName name="vdet_list_hot_vs">#REF!</definedName>
    <definedName name="vdet_list_tbo">#REF!</definedName>
    <definedName name="vdet_list_vo">#REF!</definedName>
    <definedName name="vdet_list_vs">#REF!</definedName>
    <definedName name="vdet_list_warm">#REF!</definedName>
    <definedName name="ver_reg">'ф.6.4 План_Качество'!$J$55:$N$55</definedName>
    <definedName name="version">#REF!</definedName>
    <definedName name="wrk_f11">'ПоказНадежн (Пп)'!$C$8:$F$19</definedName>
    <definedName name="wrk_f13">'ф.1.4 План_Надежность'!$I$13:$O$15</definedName>
    <definedName name="wrk_f13_3">'ф.1.4 План_Надежность'!$I$13:$M$15</definedName>
    <definedName name="wrk_f21">'ф.6.1 ИндИнф (Ин)'!$L$14:$M$35</definedName>
    <definedName name="wrk_f22">#REF!</definedName>
    <definedName name="wrk_f23">'ф.6.3 ИндРезул. (Рс)'!$L$13:$M$39</definedName>
    <definedName name="wrk_f24">'ф.6.4 План_Качество'!$J$13:$L$55</definedName>
    <definedName name="wrk_f24_k">'ф.6.4 План_Качество'!$J$10</definedName>
    <definedName name="wrk_f31">#REF!</definedName>
    <definedName name="wrk_f32">#REF!</definedName>
    <definedName name="wrk_f33">#REF!</definedName>
    <definedName name="XML_MR_MO_OKTMO_LIST_TAG_NAMES">#REF!</definedName>
    <definedName name="XML_ORG_LIST_TAG_NAMES">#REF!</definedName>
    <definedName name="Years">#REF!</definedName>
    <definedName name="Years_2">#REF!</definedName>
    <definedName name="й">P1_SCOPE_16_PRT,P2_SCOPE_16_PRT</definedName>
    <definedName name="мрпоп">P1_SCOPE_16_PRT,P2_SCOPE_16_PRT</definedName>
    <definedName name="н">P1_T2.1?Protection</definedName>
    <definedName name="_xlnm.Print_Area" localSheetId="1">'ПоказНадежн (Пп)'!$B$1:$F$53</definedName>
    <definedName name="р">P5_SCOPE_PER_PRT,P6_SCOPE_PER_PRT,P7_SCOPE_PER_PRT,P8_SCOPE_PER_PRT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<sst xmlns="http://schemas.openxmlformats.org/spreadsheetml/2006/main" count="1407" uniqueCount="387">
  <si>
    <t>Субъект РФ</t>
  </si>
  <si>
    <t>Мероприятия, направленные на улучшение показателя</t>
  </si>
  <si>
    <t>использовать темп улучшения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</si>
  <si>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</si>
  <si>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</si>
  <si>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</si>
  <si>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</si>
  <si>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</si>
  <si>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</si>
  <si>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</si>
  <si>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</si>
  <si>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</si>
  <si>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</si>
  <si>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</si>
  <si>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</si>
  <si>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</si>
  <si>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</si>
  <si>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</si>
  <si>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Факт </t>
  </si>
  <si>
    <t xml:space="preserve">План </t>
  </si>
  <si>
    <t>Версия организации</t>
  </si>
  <si>
    <t>Дата последнего обновления реестра МР/МО: 09.08.2013 13:43:49</t>
  </si>
  <si>
    <t>Продолжительность прекращения произошедшее по независящим от ТСО обстоятельствам, час</t>
  </si>
  <si>
    <t>Да</t>
  </si>
  <si>
    <t xml:space="preserve"> 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</si>
  <si>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</si>
  <si>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</si>
  <si>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</si>
  <si>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</si>
  <si>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Общее количество структурных подразделений в ТСО, шт.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</si>
  <si>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</si>
  <si>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</si>
  <si>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</si>
  <si>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</si>
  <si>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Общее количество обращений потребителей услуг в ТСО, шт.</t>
  </si>
  <si>
    <t>6.1.1</t>
  </si>
  <si>
    <t>6.2.1</t>
  </si>
  <si>
    <t>Зависи-мость</t>
  </si>
  <si>
    <t>Оценоч-ный
балл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</si>
  <si>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</si>
  <si>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</si>
  <si>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</si>
  <si>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</si>
  <si>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</si>
  <si>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</si>
  <si>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</si>
  <si>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</si>
  <si>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</si>
  <si>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</si>
  <si>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</si>
  <si>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</si>
  <si>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</si>
  <si>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3.1.</t>
  </si>
  <si>
    <t xml:space="preserve">  4.1.</t>
  </si>
  <si>
    <t>р=</t>
  </si>
  <si>
    <t xml:space="preserve">  1.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</si>
  <si>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</si>
  <si>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</si>
  <si>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</si>
  <si>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</si>
  <si>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</si>
  <si>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</si>
  <si>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</si>
  <si>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</si>
  <si>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</si>
  <si>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</si>
  <si>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</si>
  <si>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</si>
  <si>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</si>
  <si>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</si>
  <si>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</si>
  <si>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</si>
  <si>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</si>
  <si>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</si>
  <si>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Ин</t>
  </si>
  <si>
    <t>9</t>
  </si>
  <si>
    <t>10</t>
  </si>
  <si>
    <t>11</t>
  </si>
  <si>
    <t>12</t>
  </si>
  <si>
    <t>КПП</t>
  </si>
  <si>
    <t>2</t>
  </si>
  <si>
    <t>3</t>
  </si>
  <si>
    <t>ИНН</t>
  </si>
  <si>
    <t>Должностное лицо, ответственное за составление формы</t>
  </si>
  <si>
    <t>1</t>
  </si>
  <si>
    <t>ОКТМО</t>
  </si>
  <si>
    <t>Руководитель</t>
  </si>
  <si>
    <t>Главный бухгалтер</t>
  </si>
  <si>
    <t>Вид деятельности</t>
  </si>
  <si>
    <t>Наименование ПОДРАЗДЕЛЕНИЯ</t>
  </si>
  <si>
    <t>Является ли данное юридическое лицо подразделением(филиалом) другой организации</t>
  </si>
  <si>
    <t>№ п/п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</si>
  <si>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</si>
  <si>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</si>
  <si>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</si>
  <si>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</si>
  <si>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</si>
  <si>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год</t>
  </si>
  <si>
    <t>Юридический адрес</t>
  </si>
  <si>
    <t>Почтовый адрес</t>
  </si>
  <si>
    <t>(код) номер телефона</t>
  </si>
  <si>
    <t>Должность</t>
  </si>
  <si>
    <t>e-mail</t>
  </si>
  <si>
    <t/>
  </si>
  <si>
    <t>Отчетный период</t>
  </si>
  <si>
    <t>Наименование организации</t>
  </si>
  <si>
    <t>Количество точек присоединения потребителей услуг к электрической сети электросетевой организации, шт</t>
  </si>
  <si>
    <t>Продолжительность прекращения, час</t>
  </si>
  <si>
    <t>Показатель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</si>
  <si>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 (Tпр)</t>
  </si>
  <si>
    <t>Наименование показателя</t>
  </si>
  <si>
    <t>Расчет показателя средней продолжительности прекращений передачи электрической энергии</t>
  </si>
  <si>
    <t>2.3</t>
  </si>
  <si>
    <t>2.2</t>
  </si>
  <si>
    <t>2.1</t>
  </si>
  <si>
    <t>Показатель средней продолжительности прекращений передачи электрической энергии (Пп)</t>
  </si>
  <si>
    <t>Описание (обоснование)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</si>
  <si>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</si>
  <si>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обратная</t>
  </si>
  <si>
    <t>прямая</t>
  </si>
  <si>
    <t>8</t>
  </si>
  <si>
    <t>7</t>
  </si>
  <si>
    <t>6</t>
  </si>
  <si>
    <t>5</t>
  </si>
  <si>
    <t>4</t>
  </si>
  <si>
    <t>Зависимость</t>
  </si>
  <si>
    <t>Наименование параметра (критерия), характеризующего индикатор</t>
  </si>
  <si>
    <t>Расчет значения индикатора информативности</t>
  </si>
  <si>
    <t>6.2</t>
  </si>
  <si>
    <t>6.1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</si>
  <si>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</si>
  <si>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</si>
  <si>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_____</t>
    </r>
    <r>
      <rPr>
        <sz val="9"/>
        <rFont val="Tahoma"/>
        <family val="2"/>
      </rPr>
      <t>*</t>
    </r>
    <r>
      <rPr>
        <sz val="9"/>
        <color indexed="9"/>
        <rFont val="Tahoma"/>
        <family val="2"/>
      </rPr>
      <t>_</t>
    </r>
    <r>
      <rPr>
        <sz val="9"/>
        <rFont val="Tahoma"/>
        <family val="2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</si>
  <si>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5.2</t>
  </si>
  <si>
    <t>5.1</t>
  </si>
  <si>
    <t>4.1</t>
  </si>
  <si>
    <t>3.1</t>
  </si>
  <si>
    <t>2.6</t>
  </si>
  <si>
    <t>2.5</t>
  </si>
  <si>
    <t>2.4</t>
  </si>
  <si>
    <t>1.2</t>
  </si>
  <si>
    <t>1.1</t>
  </si>
  <si>
    <t>Предлагаемые плановые значения параметров (критериев), характеризующих индикаторы качества **</t>
  </si>
  <si>
    <t>Оценка достижения показателя уровня надежности оказываемых услуг, Кнад</t>
  </si>
  <si>
    <t>(4), (4.1)</t>
  </si>
  <si>
    <t>(1)</t>
  </si>
  <si>
    <t>№ формулы Методических указаний</t>
  </si>
  <si>
    <t>Показатели уровня надежности и уровня качества оказываемых услуг электросетевой организации</t>
  </si>
  <si>
    <t>Обобщенный показатель уровня надежности и качества оказываемых услуг, Коб</t>
  </si>
  <si>
    <t>Оценка достижения показателя уровня качества оказываемых услуг, Ккач</t>
  </si>
  <si>
    <t>Расчет обобщенного показателя уровня надежности и качества оказываемых услуг</t>
  </si>
  <si>
    <t>Версия</t>
  </si>
  <si>
    <t>Тип данных</t>
  </si>
  <si>
    <t>Факт</t>
  </si>
  <si>
    <t>Территории по ОКАТО</t>
  </si>
  <si>
    <t>Формы собственности по ОКФС</t>
  </si>
  <si>
    <t>Муниципальный район, на территории которого осуществляется деятельность</t>
  </si>
  <si>
    <t>Муниципальное образование, на территории которого осуществляется деятельность</t>
  </si>
  <si>
    <t>ОКВЭД</t>
  </si>
  <si>
    <t>Организационно-правовые формы по ОКОПФ</t>
  </si>
  <si>
    <t>План</t>
  </si>
  <si>
    <t>Наличие единого телефонного номера для приема обращений потребителей услуг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</si>
  <si>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</si>
  <si>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</si>
  <si>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</si>
  <si>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3.2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</si>
  <si>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</si>
  <si>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</si>
  <si>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</si>
  <si>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</si>
  <si>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</si>
  <si>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</si>
  <si>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</si>
  <si>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Индивидуальность подхода к потребителям услуг льготных категорий, по критерию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</si>
  <si>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</si>
  <si>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</si>
  <si>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</si>
  <si>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</si>
  <si>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</si>
  <si>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</si>
  <si>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</si>
  <si>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</si>
  <si>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</si>
  <si>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</si>
  <si>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</si>
  <si>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</si>
  <si>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</si>
  <si>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</si>
  <si>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</si>
  <si>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2.7</t>
  </si>
  <si>
    <t>2.8</t>
  </si>
  <si>
    <t>3.2.1</t>
  </si>
  <si>
    <t>3.2.2</t>
  </si>
  <si>
    <t>3.2.3</t>
  </si>
  <si>
    <t>2.2.1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</si>
  <si>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</si>
  <si>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1.2.1</t>
  </si>
  <si>
    <t>1.2.2</t>
  </si>
  <si>
    <t>1.2.3</t>
  </si>
  <si>
    <t>1.2.4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</si>
  <si>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</si>
  <si>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Максимальное за расчетный период регулирования число точек присоединения (Nтп)</t>
  </si>
  <si>
    <t>ОКПО</t>
  </si>
  <si>
    <t>Расчет уровня надежности и качества поставляемых товаров и услуг</t>
  </si>
  <si>
    <t>Код по ОКОГУ</t>
  </si>
  <si>
    <t>Обосновывающие данные
для расчета *</t>
  </si>
  <si>
    <t>№ п/п**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</si>
  <si>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</si>
  <si>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</si>
  <si>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Значение</t>
  </si>
  <si>
    <t>Показатель уровня качества обслуживания потребителей услуг (Птсо)</t>
  </si>
  <si>
    <t>Ф/П*100
%</t>
  </si>
  <si>
    <t>фактическое
(Ф)</t>
  </si>
  <si>
    <t>плановое
(П)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</si>
  <si>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</si>
  <si>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</si>
  <si>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</si>
  <si>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</si>
  <si>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</si>
  <si>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</si>
  <si>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Оценочный
балл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</si>
  <si>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</si>
  <si>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</si>
  <si>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факт
(Ф)</t>
  </si>
  <si>
    <t>план
(П)</t>
  </si>
  <si>
    <t>Итого по индикатору исполнительности (Ис)</t>
  </si>
  <si>
    <t xml:space="preserve">Показатель уровня качества обслуживания потребителей услуг территориальными сетевыми организациями (Птсо) </t>
  </si>
  <si>
    <t xml:space="preserve">Показатель уровня качества осуществляемого технологического присоединения (Птпр) 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</si>
  <si>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</si>
  <si>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</si>
  <si>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</si>
  <si>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</si>
  <si>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Оперативность реагирования на обращения потребителей услуг - всего,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</si>
  <si>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</si>
  <si>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Итого по индикатору результативности обратной связи (Рс)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</si>
  <si>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</si>
  <si>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 Птсо</t>
  </si>
  <si>
    <t>Плановое значение показателя Пп, Пплп</t>
  </si>
  <si>
    <t>Плановое значение показателя Птпр, Пплтпр</t>
  </si>
  <si>
    <t>Плановое значение показателя Птсо, Пплтсо</t>
  </si>
  <si>
    <t>пп. 5.1</t>
  </si>
  <si>
    <t>Коэффициент значимости показателя уровня надежности оказываемых услуг, α</t>
  </si>
  <si>
    <t>Коэффициент значимости показателя уровня качества оказываемых услуг, β</t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</si>
  <si>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</si>
  <si>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</si>
  <si>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t>Оценка достижения показателя уровня качества оказываемых услуг, Ккач1</t>
  </si>
  <si>
    <t>Оценка достижения показателя уровня качества оказываемых услуг, Ккач2</t>
  </si>
  <si>
    <t>Степень удовлетворения обращений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</si>
  <si>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</si>
  <si>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</si>
  <si>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в)* Системы автоинформирования, шт. на 1000 потребителей услуг</t>
  </si>
  <si>
    <t>Количество потребителей услуг, получивших возмещение убытков в расчетном периоде регулирования, возникших в результате неисполнения (ненадлежащего исполнения) ТСО своих обязательств, шт.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</si>
  <si>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</si>
  <si>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5.2.1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</si>
  <si>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</si>
  <si>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по которым приняты меры по результатам рассмотрения, шт.</t>
  </si>
  <si>
    <t>Общее количество обращений (жалоб) в ТСО потребителей услуг с указанием на ненадлежащее качество услуг по передачеэлектрической энергии и обслуживание, шт.</t>
  </si>
  <si>
    <t>Количество повторных жалоб от потребителей услуг в течение 30 рабочих дней после завершения мероприятий, указанных в п.2.2, которые остались неудовлетворенными принятыми мерами по первичным жалобам на ненадлежащее качество услуг по передаче электрической энергии и обслуживание, шт.</t>
  </si>
  <si>
    <t>Количество жалоб потребителей услуг на ненадлежащее качество услуг ТСО, поступивших в соответствующий контролирующий орган исполнительной власти, шт.</t>
  </si>
  <si>
    <t>Количество поступивших отзывов и предложений по вопросам деятельности ТСО, шт.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</si>
  <si>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</si>
  <si>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</si>
  <si>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</si>
  <si>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</si>
  <si>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</si>
  <si>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</si>
  <si>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в)* системы автоинформирования, шт. на 1000 потребителей услуг</t>
  </si>
  <si>
    <t>№
п.п.</t>
  </si>
  <si>
    <t>Значение показателя на</t>
  </si>
  <si>
    <t>Исходные данные для расчета</t>
  </si>
  <si>
    <t>5.1.1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</si>
  <si>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</si>
  <si>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Общее количество обращений в ТСО от потребителей услуг, шт.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</si>
  <si>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</si>
  <si>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</si>
  <si>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</si>
  <si>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</si>
  <si>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</si>
  <si>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</si>
  <si>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</si>
  <si>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</si>
  <si>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</si>
  <si>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</si>
  <si>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Эту строку не кидать в витрину, она ссылается на значение другого листа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</si>
  <si>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всего. В том числе по критериям: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</si>
  <si>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</si>
  <si>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</si>
  <si>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всего. В том числе по критериям: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</si>
  <si>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</si>
  <si>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2.2.2</t>
  </si>
  <si>
    <t>Для остальных потребителей услуг, дней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</si>
  <si>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</si>
  <si>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Отсутствие (наличие) нарушений требований антимонопольного законодательства Российской Федерации, по критерию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</si>
  <si>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</si>
  <si>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</si>
  <si>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</si>
  <si>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</si>
  <si>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эксплуатации/ В том числе по критериям: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</si>
  <si>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</si>
  <si>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</si>
  <si>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</si>
  <si>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2.9</t>
  </si>
  <si>
    <t>2.10</t>
  </si>
  <si>
    <t>2.11</t>
  </si>
  <si>
    <t>2.12</t>
  </si>
  <si>
    <t>Птсо</t>
  </si>
  <si>
    <t>Оценка достижения показателя уровня качества оказываемых услуг, Ккач (организации по управлению единой национальной сетью)</t>
  </si>
  <si>
    <t>Оценка достижения показателя уровня качества оказываемых услуг, Ккач (ТСО)</t>
  </si>
  <si>
    <t>Количество структурных подразделений по работе с заявителями и потребителями услуг</t>
  </si>
  <si>
    <t>1.1.1</t>
  </si>
  <si>
    <t>(6.1)</t>
  </si>
  <si>
    <t>(6.2)</t>
  </si>
  <si>
    <t>пп. 7.1 МУ</t>
  </si>
  <si>
    <t>Проверка Пппл на равенство нулю</t>
  </si>
  <si>
    <t>Проверка Пп на равенство нулю</t>
  </si>
  <si>
    <t>Форма 7.2</t>
  </si>
  <si>
    <t>Форма 7.1</t>
  </si>
  <si>
    <t>2.3.1</t>
  </si>
  <si>
    <t>Общее количество заключенных ТСО договоров на услуги по передаче электрической энергии с потребителями услуг, кроме физических лиц, шт.
(для расчета п.2.3)</t>
  </si>
  <si>
    <t xml:space="preserve">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РФ, в том числе по фактам дискриминации потребителей услуг по доступу к услугам территориальной сетевой организации, а также  по порядку оказания этих услуг, шт.</t>
  </si>
  <si>
    <t>3.1.1</t>
  </si>
  <si>
    <t>Общее количество поступивших заявок на технологическое присоединение, шт.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</si>
  <si>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шт.</t>
  </si>
  <si>
    <t>Количество обращений потребителей услуг с указанием на ненадлежащее качество электрической энергии, шт.</t>
  </si>
  <si>
    <t>Общее количество обращений, поступивших в ТСО от потребителей услуг, шт.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</si>
  <si>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шт.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</si>
  <si>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шт.</t>
  </si>
  <si>
    <t>Форма 6.4</t>
  </si>
  <si>
    <t xml:space="preserve">  Ис</t>
  </si>
  <si>
    <t xml:space="preserve">  1.2.</t>
  </si>
  <si>
    <t xml:space="preserve">  2.2. а)</t>
  </si>
  <si>
    <t xml:space="preserve">  2.2. б)</t>
  </si>
  <si>
    <t xml:space="preserve">  7.1.</t>
  </si>
  <si>
    <t xml:space="preserve">  Рс</t>
  </si>
  <si>
    <t>3.3</t>
  </si>
  <si>
    <t>Дата последнего обновления реестра организаций: 24.07.2014 10:25:55</t>
  </si>
  <si>
    <t>Новгородская область</t>
  </si>
  <si>
    <t>форма 1.1</t>
  </si>
  <si>
    <t>форма 1.2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</si>
  <si>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</si>
  <si>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</t>
    </r>
    <r>
      <rPr>
        <sz val="9"/>
        <rFont val="Tahoma"/>
        <family val="2"/>
      </rPr>
      <t>**</t>
    </r>
    <r>
      <rPr>
        <sz val="9"/>
        <color indexed="9"/>
        <rFont val="Tahoma"/>
        <family val="2"/>
      </rPr>
      <t>_</t>
    </r>
    <r>
      <rPr>
        <sz val="9"/>
        <rFont val="Tahoma"/>
        <family val="2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</si>
  <si>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ОАО "Новгородоблэлектро"</t>
  </si>
  <si>
    <t>нет</t>
  </si>
  <si>
    <t>5321037717</t>
  </si>
  <si>
    <t>532150001</t>
  </si>
  <si>
    <t>Сетевая компания</t>
  </si>
  <si>
    <t>03292173</t>
  </si>
  <si>
    <t>40.10.2</t>
  </si>
  <si>
    <t>Городские округа Новгородской области</t>
  </si>
  <si>
    <t>г. Великий Новгород</t>
  </si>
  <si>
    <t>49701000</t>
  </si>
  <si>
    <t>49401000000</t>
  </si>
  <si>
    <t>0</t>
  </si>
  <si>
    <t>47</t>
  </si>
  <si>
    <t>173003,в.Новгород,ул.Кооперативная,д.8</t>
  </si>
  <si>
    <t>Муравин Алексей Анатольевич</t>
  </si>
  <si>
    <t>(88162)680148</t>
  </si>
  <si>
    <t>Федоров Иван Валентинович</t>
  </si>
  <si>
    <t>(88162)680119</t>
  </si>
  <si>
    <t>Смышляева Елена Николаевна</t>
  </si>
  <si>
    <t>и.о. заместителя генерального директора по реализации услуг</t>
  </si>
  <si>
    <t>(88162)680112</t>
  </si>
  <si>
    <t>smen@nokes.natm.ru</t>
  </si>
  <si>
    <t>Форма 3.1</t>
  </si>
  <si>
    <t>Отчетные данные для расчета значения показателя качества рассмотрения заявок на технологическое присоединение к сети, в период 2014 года</t>
  </si>
  <si>
    <t>Наименование</t>
  </si>
  <si>
    <t>Значение,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</si>
  <si>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</si>
  <si>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</si>
  <si>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</si>
  <si>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</si>
  <si>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</si>
  <si>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2014 года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</si>
  <si>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</si>
  <si>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</si>
  <si>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</si>
  <si>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</si>
  <si>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</si>
  <si>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2014 года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</si>
  <si>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</si>
  <si>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</si>
  <si>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</si>
  <si>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</si>
  <si>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</si>
  <si>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</si>
  <si>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Генеральный директор</t>
  </si>
  <si>
    <t>И.о. заместителя генерального директора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</si>
</sst>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[Red]\(&quot;$&quot;#,##0\)"/>
    <numFmt numFmtId="173" formatCode="0.0"/>
    <numFmt numFmtId="174" formatCode="#,##0.000"/>
    <numFmt numFmtId="175" formatCode="0.000"/>
    <numFmt numFmtId="176" formatCode="#,##0.00_ ;\-#,##0.00\ "/>
    <numFmt numFmtId="177" formatCode="#,##0_ ;\-#,##0\ "/>
    <numFmt numFmtId="178" formatCode="#,##0.0000"/>
    <numFmt numFmtId="179" formatCode="0.0000"/>
    <numFmt numFmtId="180" formatCode="#,##0.0"/>
    <numFmt numFmtId="181" formatCode="#,##0.00000000_ ;\-#,##0.00000000\ "/>
    <numFmt numFmtId="182" formatCode="_-* #,##0.00[$€-1]_-;\-* #,##0.00[$€-1]_-;_-* &quot;-&quot;??[$€-1]_-"/>
    <numFmt numFmtId="183" formatCode="_(&quot;$&quot;* #,##0.00_);_(&quot;$&quot;* \(#,##0.00\);_(&quot;$&quot;* &quot;-&quot;??_);_(@_)"/>
    <numFmt numFmtId="184" formatCode="#,##0.000000"/>
    <numFmt numFmtId="185" formatCode="0.000000"/>
    <numFmt numFmtId="186" formatCode="#,##0.0000_ ;\-#,##0.0000\ "/>
    <numFmt numFmtId="187" formatCode="#,##0.00000"/>
    <numFmt numFmtId="188" formatCode="0.0000000000"/>
    <numFmt numFmtId="189" formatCode="0.000000000"/>
    <numFmt numFmtId="190" formatCode="0.00000000"/>
    <numFmt numFmtId="191" formatCode="0.0000000"/>
    <numFmt numFmtId="192" formatCode="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22"/>
      <name val="Tahoma"/>
      <family val="2"/>
    </font>
    <font>
      <sz val="9"/>
      <color indexed="23"/>
      <name val="Tahoma"/>
      <family val="2"/>
    </font>
    <font>
      <i/>
      <sz val="9"/>
      <name val="Tahoma"/>
      <family val="2"/>
    </font>
    <font>
      <sz val="8"/>
      <name val="Palatino"/>
      <family val="1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b/>
      <sz val="9"/>
      <color indexed="12"/>
      <name val="Tahoma"/>
      <family val="2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9"/>
      <color indexed="22"/>
      <name val="Tahoma"/>
      <family val="2"/>
    </font>
    <font>
      <sz val="1"/>
      <color indexed="9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b/>
      <sz val="9"/>
      <color theme="0" tint="-0.24997000396251678"/>
      <name val="Tahoma"/>
      <family val="2"/>
    </font>
    <font>
      <sz val="9"/>
      <color theme="0" tint="-0.2499700039625167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indexed="22"/>
        <bgColor rgb="FFFFFFCC"/>
      </patternFill>
    </fill>
    <fill>
      <patternFill patternType="lightDown">
        <fgColor indexed="22"/>
      </patternFill>
    </fill>
    <fill>
      <patternFill patternType="solid">
        <fgColor indexed="2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</borders>
  <cellStyleXfs count="8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2" fontId="5" fillId="0" borderId="0">
      <alignment/>
      <protection/>
    </xf>
    <xf numFmtId="0" fontId="5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12" fillId="0" borderId="1" applyNumberFormat="0" applyAlignment="0">
      <protection locked="0"/>
    </xf>
    <xf numFmtId="172" fontId="25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12" fillId="2" borderId="1" applyNumberFormat="0" applyAlignment="0"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9" fillId="3" borderId="2" applyNumberFormat="0">
      <alignment horizontal="center" vertical="center"/>
      <protection/>
    </xf>
    <xf numFmtId="0" fontId="11" fillId="4" borderId="1" applyNumberFormat="0" applyAlignment="0" applyProtection="0"/>
    <xf numFmtId="0" fontId="11" fillId="4" borderId="1" applyNumberFormat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0" fillId="5" borderId="3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1" fillId="6" borderId="0" applyNumberFormat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7" borderId="0" applyFont="0" applyBorder="0">
      <alignment horizontal="right"/>
      <protection/>
    </xf>
    <xf numFmtId="4" fontId="0" fillId="7" borderId="0" applyBorder="0">
      <alignment horizontal="right"/>
      <protection/>
    </xf>
  </cellStyleXfs>
  <cellXfs count="673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8" borderId="0" xfId="68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0" borderId="0" xfId="56" applyFont="1" applyFill="1" applyAlignment="1" applyProtection="1">
      <alignment vertical="top" wrapText="1"/>
      <protection/>
    </xf>
    <xf numFmtId="0" fontId="0" fillId="8" borderId="0" xfId="56" applyFont="1" applyFill="1" applyBorder="1" applyAlignment="1" applyProtection="1">
      <alignment vertical="top" wrapText="1"/>
      <protection/>
    </xf>
    <xf numFmtId="0" fontId="0" fillId="8" borderId="0" xfId="56" applyFont="1" applyFill="1" applyBorder="1" applyAlignment="1" applyProtection="1">
      <alignment horizontal="center" vertical="top" wrapText="1"/>
      <protection/>
    </xf>
    <xf numFmtId="0" fontId="0" fillId="0" borderId="0" xfId="56" applyFont="1" applyFill="1" applyBorder="1" applyAlignment="1" applyProtection="1">
      <alignment vertical="top" wrapText="1"/>
      <protection/>
    </xf>
    <xf numFmtId="0" fontId="0" fillId="0" borderId="0" xfId="56" applyFont="1" applyBorder="1" applyAlignment="1" applyProtection="1">
      <alignment vertical="top" wrapText="1"/>
      <protection/>
    </xf>
    <xf numFmtId="0" fontId="19" fillId="8" borderId="4" xfId="56" applyFont="1" applyFill="1" applyBorder="1" applyAlignment="1" applyProtection="1">
      <alignment vertical="top" wrapText="1"/>
      <protection/>
    </xf>
    <xf numFmtId="0" fontId="0" fillId="8" borderId="4" xfId="56" applyFont="1" applyFill="1" applyBorder="1" applyAlignment="1" applyProtection="1">
      <alignment vertical="top" wrapText="1"/>
      <protection/>
    </xf>
    <xf numFmtId="0" fontId="0" fillId="0" borderId="0" xfId="56" applyFont="1" applyBorder="1" applyAlignment="1" applyProtection="1">
      <alignment horizontal="center" vertical="top" wrapText="1"/>
      <protection/>
    </xf>
    <xf numFmtId="49" fontId="0" fillId="0" borderId="0" xfId="0" applyBorder="1" applyAlignment="1" applyProtection="1">
      <alignment vertical="top"/>
      <protection/>
    </xf>
    <xf numFmtId="0" fontId="0" fillId="0" borderId="0" xfId="53" applyFont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49" fontId="7" fillId="0" borderId="0" xfId="53" applyNumberFormat="1" applyFont="1" applyFill="1" applyBorder="1" applyAlignment="1" applyProtection="1">
      <alignment horizontal="right"/>
      <protection/>
    </xf>
    <xf numFmtId="0" fontId="0" fillId="0" borderId="0" xfId="53" applyNumberFormat="1" applyFont="1" applyBorder="1" applyAlignment="1">
      <alignment horizontal="left" wrapText="1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ont="1" applyAlignment="1" applyProtection="1">
      <alignment horizontal="left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0" xfId="53" applyNumberFormat="1" applyFont="1" applyBorder="1" applyAlignment="1">
      <alignment horizontal="center"/>
      <protection/>
    </xf>
    <xf numFmtId="0" fontId="0" fillId="0" borderId="0" xfId="53" applyNumberFormat="1" applyFont="1" applyBorder="1" applyAlignment="1" applyProtection="1">
      <alignment horizontal="left"/>
      <protection/>
    </xf>
    <xf numFmtId="0" fontId="0" fillId="0" borderId="0" xfId="53" applyNumberFormat="1" applyFont="1" applyBorder="1" applyAlignment="1" applyProtection="1">
      <alignment horizontal="center" vertical="top"/>
      <protection/>
    </xf>
    <xf numFmtId="0" fontId="0" fillId="0" borderId="0" xfId="53" applyNumberFormat="1" applyFont="1" applyBorder="1" applyAlignment="1" applyProtection="1">
      <alignment horizontal="center"/>
      <protection/>
    </xf>
    <xf numFmtId="0" fontId="13" fillId="0" borderId="0" xfId="68" applyFont="1" applyAlignment="1" applyProtection="1">
      <alignment vertical="center" wrapText="1"/>
      <protection/>
    </xf>
    <xf numFmtId="0" fontId="13" fillId="0" borderId="0" xfId="68" applyFont="1" applyAlignment="1" applyProtection="1">
      <alignment horizontal="center" vertical="center" wrapText="1"/>
      <protection/>
    </xf>
    <xf numFmtId="0" fontId="0" fillId="0" borderId="0" xfId="68" applyFont="1" applyAlignment="1" applyProtection="1">
      <alignment vertical="center" wrapText="1"/>
      <protection/>
    </xf>
    <xf numFmtId="0" fontId="0" fillId="0" borderId="0" xfId="69" applyFont="1" applyFill="1" applyBorder="1" applyAlignment="1" applyProtection="1">
      <alignment vertical="center" wrapText="1"/>
      <protection/>
    </xf>
    <xf numFmtId="0" fontId="0" fillId="8" borderId="0" xfId="69" applyFont="1" applyFill="1" applyBorder="1" applyAlignment="1" applyProtection="1">
      <alignment vertical="center" wrapText="1"/>
      <protection/>
    </xf>
    <xf numFmtId="0" fontId="0" fillId="8" borderId="0" xfId="69" applyFont="1" applyFill="1" applyBorder="1" applyAlignment="1" applyProtection="1">
      <alignment horizontal="center" vertical="center" wrapText="1"/>
      <protection/>
    </xf>
    <xf numFmtId="0" fontId="7" fillId="8" borderId="0" xfId="69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7" fillId="8" borderId="0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68" applyFont="1" applyFill="1" applyBorder="1" applyAlignment="1" applyProtection="1">
      <alignment vertical="center" wrapText="1"/>
      <protection/>
    </xf>
    <xf numFmtId="0" fontId="7" fillId="8" borderId="0" xfId="75" applyNumberFormat="1" applyFont="1" applyFill="1" applyBorder="1" applyAlignment="1" applyProtection="1">
      <alignment horizontal="center" vertical="center" wrapText="1"/>
      <protection/>
    </xf>
    <xf numFmtId="0" fontId="0" fillId="8" borderId="0" xfId="68" applyFont="1" applyFill="1" applyBorder="1" applyAlignment="1" applyProtection="1">
      <alignment horizontal="center" vertical="center" wrapText="1"/>
      <protection/>
    </xf>
    <xf numFmtId="0" fontId="13" fillId="0" borderId="0" xfId="68" applyFont="1" applyFill="1" applyBorder="1" applyAlignment="1" applyProtection="1">
      <alignment vertical="center" wrapText="1"/>
      <protection/>
    </xf>
    <xf numFmtId="0" fontId="0" fillId="0" borderId="0" xfId="68" applyFont="1" applyBorder="1" applyAlignment="1" applyProtection="1">
      <alignment vertical="center" wrapText="1"/>
      <protection/>
    </xf>
    <xf numFmtId="0" fontId="0" fillId="0" borderId="0" xfId="68" applyFont="1" applyBorder="1" applyAlignment="1" applyProtection="1">
      <alignment horizontal="center" vertical="center" wrapText="1"/>
      <protection/>
    </xf>
    <xf numFmtId="0" fontId="0" fillId="0" borderId="0" xfId="68" applyFont="1" applyAlignment="1" applyProtection="1">
      <alignment horizontal="center" vertical="center" wrapText="1"/>
      <protection/>
    </xf>
    <xf numFmtId="0" fontId="0" fillId="0" borderId="0" xfId="68" applyFont="1" applyFill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 vertical="center"/>
      <protection/>
    </xf>
    <xf numFmtId="0" fontId="19" fillId="8" borderId="0" xfId="56" applyFont="1" applyFill="1" applyBorder="1" applyAlignment="1" applyProtection="1">
      <alignment vertical="top" wrapText="1"/>
      <protection/>
    </xf>
    <xf numFmtId="49" fontId="0" fillId="0" borderId="0" xfId="0" applyFont="1" applyAlignment="1">
      <alignment vertical="top" wrapText="1"/>
    </xf>
    <xf numFmtId="49" fontId="0" fillId="0" borderId="0" xfId="0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horizontal="left"/>
      <protection/>
    </xf>
    <xf numFmtId="0" fontId="7" fillId="0" borderId="0" xfId="53" applyNumberFormat="1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/>
      <protection/>
    </xf>
    <xf numFmtId="0" fontId="0" fillId="0" borderId="0" xfId="53" applyNumberFormat="1" applyFont="1" applyBorder="1" applyAlignment="1" applyProtection="1">
      <alignment horizontal="center" wrapText="1"/>
      <protection/>
    </xf>
    <xf numFmtId="0" fontId="0" fillId="0" borderId="0" xfId="53" applyNumberFormat="1" applyFont="1" applyBorder="1" applyAlignment="1" applyProtection="1">
      <alignment horizontal="left" wrapText="1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horizontal="center" vertical="center" wrapText="1"/>
      <protection/>
    </xf>
    <xf numFmtId="0" fontId="7" fillId="8" borderId="4" xfId="56" applyFont="1" applyFill="1" applyBorder="1" applyAlignment="1" applyProtection="1">
      <alignment horizontal="right" vertical="top" wrapText="1"/>
      <protection/>
    </xf>
    <xf numFmtId="0" fontId="7" fillId="8" borderId="4" xfId="56" applyFont="1" applyFill="1" applyBorder="1" applyAlignment="1" applyProtection="1">
      <alignment horizontal="right" vertical="top"/>
      <protection/>
    </xf>
    <xf numFmtId="0" fontId="20" fillId="8" borderId="0" xfId="56" applyFont="1" applyFill="1" applyBorder="1" applyAlignment="1" applyProtection="1">
      <alignment horizontal="center" vertical="top" wrapText="1"/>
      <protection/>
    </xf>
    <xf numFmtId="0" fontId="7" fillId="8" borderId="4" xfId="56" applyFont="1" applyFill="1" applyBorder="1" applyAlignment="1" applyProtection="1">
      <alignment horizontal="left" vertical="top" indent="1"/>
      <protection/>
    </xf>
    <xf numFmtId="0" fontId="0" fillId="0" borderId="0" xfId="67" applyFont="1" applyAlignment="1">
      <alignment horizontal="right" vertical="center" wrapText="1"/>
      <protection/>
    </xf>
    <xf numFmtId="0" fontId="0" fillId="8" borderId="0" xfId="56" applyFont="1" applyFill="1" applyBorder="1" applyAlignment="1" applyProtection="1">
      <alignment horizontal="center" vertical="top"/>
      <protection/>
    </xf>
    <xf numFmtId="0" fontId="0" fillId="0" borderId="4" xfId="56" applyFont="1" applyBorder="1" applyAlignment="1" applyProtection="1">
      <alignment horizontal="center" vertical="top" wrapText="1"/>
      <protection/>
    </xf>
    <xf numFmtId="0" fontId="7" fillId="8" borderId="0" xfId="56" applyFont="1" applyFill="1" applyBorder="1" applyAlignment="1" applyProtection="1">
      <alignment horizontal="left" vertical="top" indent="1"/>
      <protection/>
    </xf>
    <xf numFmtId="0" fontId="0" fillId="0" borderId="0" xfId="53" applyFont="1" applyBorder="1" applyAlignment="1" applyProtection="1">
      <alignment/>
      <protection/>
    </xf>
    <xf numFmtId="49" fontId="0" fillId="0" borderId="0" xfId="0" applyBorder="1" applyAlignment="1">
      <alignment vertical="top"/>
    </xf>
    <xf numFmtId="49" fontId="0" fillId="0" borderId="0" xfId="0" applyFill="1" applyBorder="1" applyAlignment="1" applyProtection="1">
      <alignment vertical="top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/>
    </xf>
    <xf numFmtId="4" fontId="7" fillId="0" borderId="0" xfId="48" applyFont="1" applyFill="1" applyBorder="1" applyAlignment="1" applyProtection="1">
      <alignment horizontal="center" vertical="center"/>
      <protection/>
    </xf>
    <xf numFmtId="0" fontId="14" fillId="0" borderId="0" xfId="43" applyFont="1" applyBorder="1" applyAlignment="1" applyProtection="1">
      <alignment horizontal="left" indent="1"/>
      <protection/>
    </xf>
    <xf numFmtId="0" fontId="0" fillId="0" borderId="5" xfId="53" applyFont="1" applyBorder="1" applyAlignment="1">
      <alignment horizontal="left"/>
      <protection/>
    </xf>
    <xf numFmtId="0" fontId="0" fillId="0" borderId="0" xfId="53" applyFont="1" applyBorder="1" applyAlignment="1">
      <alignment horizontal="left"/>
      <protection/>
    </xf>
    <xf numFmtId="0" fontId="14" fillId="0" borderId="0" xfId="43" applyNumberFormat="1" applyFont="1" applyBorder="1" applyAlignment="1" applyProtection="1">
      <alignment horizontal="left" indent="1"/>
      <protection/>
    </xf>
    <xf numFmtId="49" fontId="0" fillId="0" borderId="0" xfId="0" applyFont="1" applyAlignment="1">
      <alignment vertical="top"/>
    </xf>
    <xf numFmtId="49" fontId="0" fillId="0" borderId="0" xfId="0" applyFont="1" applyAlignment="1">
      <alignment horizontal="center" vertical="top" wrapText="1"/>
    </xf>
    <xf numFmtId="49" fontId="0" fillId="0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horizontal="center" vertical="center"/>
      <protection/>
    </xf>
    <xf numFmtId="49" fontId="7" fillId="0" borderId="0" xfId="0" applyFont="1" applyAlignment="1">
      <alignment vertical="top" wrapText="1"/>
    </xf>
    <xf numFmtId="14" fontId="0" fillId="8" borderId="0" xfId="75" applyNumberFormat="1" applyFont="1" applyFill="1" applyBorder="1" applyAlignment="1" applyProtection="1">
      <alignment horizontal="center" vertical="center" wrapText="1"/>
      <protection/>
    </xf>
    <xf numFmtId="0" fontId="20" fillId="8" borderId="6" xfId="56" applyFont="1" applyFill="1" applyBorder="1" applyAlignment="1" applyProtection="1">
      <alignment horizontal="center" vertical="top" wrapText="1"/>
      <protection/>
    </xf>
    <xf numFmtId="49" fontId="0" fillId="0" borderId="0" xfId="0" applyFont="1" applyBorder="1" applyAlignment="1">
      <alignment horizontal="center" vertical="top" wrapText="1"/>
    </xf>
    <xf numFmtId="49" fontId="0" fillId="0" borderId="0" xfId="0" applyFont="1" applyBorder="1" applyAlignment="1">
      <alignment vertical="top" wrapText="1"/>
    </xf>
    <xf numFmtId="49" fontId="7" fillId="0" borderId="0" xfId="0" applyFont="1" applyBorder="1" applyAlignment="1">
      <alignment vertical="top" wrapText="1"/>
    </xf>
    <xf numFmtId="49" fontId="23" fillId="0" borderId="0" xfId="0" applyFont="1" applyBorder="1" applyAlignment="1">
      <alignment vertical="top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Fill="1" applyBorder="1" applyAlignment="1" applyProtection="1">
      <alignment horizontal="center" vertical="top" wrapText="1"/>
      <protection/>
    </xf>
    <xf numFmtId="49" fontId="7" fillId="0" borderId="0" xfId="0" applyFont="1" applyFill="1" applyBorder="1" applyAlignment="1" applyProtection="1">
      <alignment vertical="top" wrapText="1"/>
      <protection/>
    </xf>
    <xf numFmtId="49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Font="1" applyFill="1" applyBorder="1" applyAlignment="1" applyProtection="1">
      <alignment horizontal="center" vertical="top" wrapText="1"/>
      <protection/>
    </xf>
    <xf numFmtId="49" fontId="0" fillId="0" borderId="0" xfId="0" applyFont="1" applyFill="1" applyBorder="1" applyAlignment="1" applyProtection="1">
      <alignment horizontal="center" wrapText="1"/>
      <protection/>
    </xf>
    <xf numFmtId="173" fontId="7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Font="1" applyFill="1" applyBorder="1" applyAlignment="1" applyProtection="1">
      <alignment horizontal="right" vertical="top"/>
      <protection/>
    </xf>
    <xf numFmtId="49" fontId="0" fillId="0" borderId="0" xfId="0" applyFont="1" applyBorder="1" applyAlignment="1">
      <alignment horizontal="left" vertical="center" wrapText="1" indent="1"/>
    </xf>
    <xf numFmtId="49" fontId="0" fillId="0" borderId="0" xfId="0" applyFont="1" applyBorder="1" applyAlignment="1" applyProtection="1">
      <alignment horizontal="left" vertical="top" wrapText="1" indent="2"/>
      <protection/>
    </xf>
    <xf numFmtId="49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0" fillId="8" borderId="6" xfId="56" applyFont="1" applyFill="1" applyBorder="1" applyAlignment="1" applyProtection="1">
      <alignment vertical="top" wrapText="1"/>
      <protection/>
    </xf>
    <xf numFmtId="0" fontId="13" fillId="8" borderId="0" xfId="75" applyNumberFormat="1" applyFont="1" applyFill="1" applyBorder="1" applyAlignment="1" applyProtection="1">
      <alignment horizontal="center" vertical="center" wrapText="1"/>
      <protection/>
    </xf>
    <xf numFmtId="0" fontId="13" fillId="8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68" applyFont="1" applyFill="1" applyBorder="1" applyAlignment="1" applyProtection="1">
      <alignment horizontal="center" vertical="center" wrapText="1"/>
      <protection/>
    </xf>
    <xf numFmtId="0" fontId="7" fillId="0" borderId="0" xfId="69" applyFont="1" applyFill="1" applyBorder="1" applyAlignment="1" applyProtection="1">
      <alignment vertical="center" wrapText="1"/>
      <protection/>
    </xf>
    <xf numFmtId="49" fontId="7" fillId="0" borderId="0" xfId="0" applyFont="1" applyFill="1" applyBorder="1" applyAlignment="1" applyProtection="1">
      <alignment vertical="center"/>
      <protection/>
    </xf>
    <xf numFmtId="0" fontId="7" fillId="0" borderId="0" xfId="53" applyNumberFormat="1" applyFont="1" applyFill="1" applyBorder="1" applyAlignment="1" applyProtection="1">
      <alignment horizontal="center" vertical="center" wrapText="1"/>
      <protection/>
    </xf>
    <xf numFmtId="4" fontId="0" fillId="0" borderId="0" xfId="53" applyNumberFormat="1" applyFont="1" applyFill="1" applyBorder="1" applyAlignment="1" applyProtection="1">
      <alignment horizontal="center" vertical="center"/>
      <protection/>
    </xf>
    <xf numFmtId="174" fontId="0" fillId="0" borderId="0" xfId="53" applyNumberFormat="1" applyFont="1" applyFill="1" applyBorder="1" applyAlignment="1" applyProtection="1">
      <alignment horizontal="center" vertical="center"/>
      <protection/>
    </xf>
    <xf numFmtId="49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Border="1" applyAlignment="1" applyProtection="1">
      <alignment wrapText="1"/>
      <protection/>
    </xf>
    <xf numFmtId="49" fontId="0" fillId="0" borderId="0" xfId="0" applyFont="1" applyAlignment="1">
      <alignment vertical="top"/>
    </xf>
    <xf numFmtId="49" fontId="0" fillId="0" borderId="0" xfId="0" applyFont="1" applyBorder="1" applyAlignment="1">
      <alignment vertical="top"/>
    </xf>
    <xf numFmtId="0" fontId="0" fillId="0" borderId="0" xfId="53" applyFont="1" applyBorder="1" applyAlignment="1" applyProtection="1">
      <alignment horizontal="left"/>
      <protection/>
    </xf>
    <xf numFmtId="49" fontId="0" fillId="0" borderId="0" xfId="0" applyFont="1" applyBorder="1" applyAlignment="1">
      <alignment vertical="top"/>
    </xf>
    <xf numFmtId="0" fontId="0" fillId="0" borderId="0" xfId="53" applyFont="1" applyFill="1" applyBorder="1" applyAlignment="1" applyProtection="1">
      <alignment horizontal="left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0" borderId="0" xfId="53" applyFont="1" applyFill="1" applyBorder="1" applyAlignment="1" applyProtection="1">
      <alignment horizontal="left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0" borderId="0" xfId="53" applyNumberFormat="1" applyFont="1" applyFill="1" applyBorder="1" applyAlignment="1" applyProtection="1">
      <alignment horizontal="center" vertical="center" wrapText="1"/>
      <protection/>
    </xf>
    <xf numFmtId="4" fontId="0" fillId="0" borderId="0" xfId="48" applyFont="1" applyFill="1" applyBorder="1" applyAlignment="1" applyProtection="1">
      <alignment horizontal="center" vertical="center"/>
      <protection/>
    </xf>
    <xf numFmtId="4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 applyProtection="1">
      <alignment vertical="top" wrapText="1"/>
      <protection/>
    </xf>
    <xf numFmtId="0" fontId="0" fillId="0" borderId="0" xfId="56" applyFont="1" applyBorder="1" applyAlignment="1" applyProtection="1">
      <alignment horizontal="center" vertical="top" wrapText="1"/>
      <protection/>
    </xf>
    <xf numFmtId="0" fontId="0" fillId="0" borderId="0" xfId="56" applyFont="1" applyBorder="1" applyAlignment="1" applyProtection="1">
      <alignment vertical="top" wrapText="1"/>
      <protection/>
    </xf>
    <xf numFmtId="0" fontId="0" fillId="8" borderId="4" xfId="56" applyFont="1" applyFill="1" applyBorder="1" applyAlignment="1" applyProtection="1">
      <alignment vertical="top" wrapText="1"/>
      <protection/>
    </xf>
    <xf numFmtId="0" fontId="0" fillId="0" borderId="0" xfId="56" applyFont="1" applyBorder="1" applyAlignment="1" applyProtection="1">
      <alignment horizontal="center" vertical="top" wrapText="1"/>
      <protection/>
    </xf>
    <xf numFmtId="0" fontId="0" fillId="8" borderId="4" xfId="56" applyFont="1" applyFill="1" applyBorder="1" applyAlignment="1" applyProtection="1">
      <alignment vertical="top" wrapText="1"/>
      <protection/>
    </xf>
    <xf numFmtId="0" fontId="0" fillId="8" borderId="0" xfId="56" applyFont="1" applyFill="1" applyBorder="1" applyAlignment="1" applyProtection="1">
      <alignment vertical="top" wrapText="1"/>
      <protection/>
    </xf>
    <xf numFmtId="0" fontId="0" fillId="0" borderId="4" xfId="56" applyFont="1" applyBorder="1" applyAlignment="1" applyProtection="1">
      <alignment horizontal="center" vertical="top" wrapText="1"/>
      <protection/>
    </xf>
    <xf numFmtId="49" fontId="0" fillId="0" borderId="0" xfId="53" applyNumberFormat="1" applyFont="1" applyFill="1" applyBorder="1" applyAlignment="1" applyProtection="1">
      <alignment horizontal="center" vertical="center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Fill="1" applyBorder="1" applyAlignment="1" applyProtection="1">
      <alignment vertical="center" wrapText="1"/>
      <protection/>
    </xf>
    <xf numFmtId="49" fontId="0" fillId="0" borderId="0" xfId="67" applyNumberFormat="1" applyFont="1" applyFill="1" applyBorder="1" applyAlignment="1" applyProtection="1">
      <alignment vertical="center" wrapText="1"/>
      <protection/>
    </xf>
    <xf numFmtId="49" fontId="0" fillId="0" borderId="0" xfId="67" applyNumberFormat="1" applyFont="1" applyFill="1" applyBorder="1" applyAlignment="1" applyProtection="1">
      <alignment vertical="center" wrapText="1"/>
      <protection/>
    </xf>
    <xf numFmtId="0" fontId="24" fillId="0" borderId="0" xfId="53" applyNumberFormat="1" applyFont="1" applyBorder="1" applyAlignment="1">
      <alignment horizontal="center" vertical="center" wrapText="1"/>
      <protection/>
    </xf>
    <xf numFmtId="49" fontId="0" fillId="0" borderId="0" xfId="0" applyFont="1" applyBorder="1" applyAlignment="1" applyProtection="1">
      <alignment vertical="top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Font="1" applyBorder="1" applyAlignment="1" applyProtection="1">
      <alignment vertical="top" wrapText="1"/>
      <protection/>
    </xf>
    <xf numFmtId="49" fontId="0" fillId="0" borderId="0" xfId="0" applyFont="1" applyBorder="1" applyAlignment="1" applyProtection="1">
      <alignment horizontal="center" vertical="top" wrapText="1"/>
      <protection/>
    </xf>
    <xf numFmtId="49" fontId="20" fillId="0" borderId="0" xfId="0" applyFont="1" applyBorder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vertical="top"/>
      <protection/>
    </xf>
    <xf numFmtId="0" fontId="17" fillId="0" borderId="0" xfId="72" applyFont="1" applyFill="1" applyBorder="1" applyAlignment="1" applyProtection="1">
      <alignment vertical="center" wrapText="1"/>
      <protection/>
    </xf>
    <xf numFmtId="0" fontId="0" fillId="0" borderId="0" xfId="72" applyFont="1" applyAlignment="1">
      <alignment vertical="center" wrapText="1"/>
      <protection/>
    </xf>
    <xf numFmtId="49" fontId="0" fillId="0" borderId="4" xfId="0" applyFont="1" applyBorder="1" applyAlignment="1">
      <alignment vertical="top"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74" fontId="0" fillId="7" borderId="7" xfId="53" applyNumberFormat="1" applyFont="1" applyFill="1" applyBorder="1" applyAlignment="1" applyProtection="1">
      <alignment horizontal="center" vertical="center"/>
      <protection/>
    </xf>
    <xf numFmtId="2" fontId="0" fillId="7" borderId="7" xfId="0" applyNumberFormat="1" applyFont="1" applyFill="1" applyBorder="1" applyAlignment="1" applyProtection="1">
      <alignment horizontal="center" vertical="center" wrapText="1"/>
      <protection/>
    </xf>
    <xf numFmtId="175" fontId="7" fillId="7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>
      <alignment horizontal="center" vertical="top"/>
    </xf>
    <xf numFmtId="49" fontId="7" fillId="0" borderId="0" xfId="0" applyFont="1" applyBorder="1" applyAlignment="1">
      <alignment horizontal="center" vertical="center" wrapText="1"/>
    </xf>
    <xf numFmtId="49" fontId="18" fillId="0" borderId="0" xfId="0" applyFont="1" applyBorder="1" applyAlignment="1">
      <alignment horizontal="center" vertical="center" wrapText="1"/>
    </xf>
    <xf numFmtId="0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 indent="2"/>
      <protection/>
    </xf>
    <xf numFmtId="0" fontId="0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7" xfId="0" applyFont="1" applyBorder="1" applyAlignment="1">
      <alignment horizontal="center" vertical="center" wrapText="1"/>
    </xf>
    <xf numFmtId="49" fontId="18" fillId="0" borderId="7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75" fontId="0" fillId="7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Font="1" applyFill="1" applyBorder="1" applyAlignment="1" applyProtection="1">
      <alignment horizontal="center" vertical="center" wrapText="1"/>
      <protection/>
    </xf>
    <xf numFmtId="49" fontId="7" fillId="0" borderId="7" xfId="0" applyFont="1" applyBorder="1" applyAlignment="1">
      <alignment horizontal="center" vertical="top" wrapText="1"/>
    </xf>
    <xf numFmtId="49" fontId="32" fillId="0" borderId="7" xfId="0" applyFont="1" applyBorder="1" applyAlignment="1">
      <alignment horizontal="center" vertical="top" wrapText="1"/>
    </xf>
    <xf numFmtId="49" fontId="32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Border="1" applyAlignment="1">
      <alignment horizontal="left" vertical="top" wrapText="1" indent="2"/>
    </xf>
    <xf numFmtId="49" fontId="0" fillId="0" borderId="7" xfId="0" applyFont="1" applyFill="1" applyBorder="1" applyAlignment="1">
      <alignment horizontal="center" vertical="center" wrapText="1"/>
    </xf>
    <xf numFmtId="49" fontId="0" fillId="0" borderId="0" xfId="0" applyFont="1" applyFill="1" applyBorder="1" applyAlignment="1" applyProtection="1">
      <alignment horizontal="center" vertical="top"/>
      <protection/>
    </xf>
    <xf numFmtId="49" fontId="7" fillId="0" borderId="0" xfId="0" applyFont="1" applyBorder="1" applyAlignment="1">
      <alignment horizontal="center" vertical="top" wrapText="1"/>
    </xf>
    <xf numFmtId="0" fontId="7" fillId="8" borderId="0" xfId="56" applyFont="1" applyFill="1" applyBorder="1" applyAlignment="1" applyProtection="1">
      <alignment horizontal="right" vertical="top"/>
      <protection/>
    </xf>
    <xf numFmtId="49" fontId="0" fillId="0" borderId="0" xfId="0" applyFont="1" applyBorder="1" applyAlignment="1">
      <alignment horizontal="center" vertical="top"/>
    </xf>
    <xf numFmtId="1" fontId="0" fillId="7" borderId="7" xfId="0" applyNumberFormat="1" applyFont="1" applyFill="1" applyBorder="1" applyAlignment="1" applyProtection="1">
      <alignment horizontal="center" vertical="center" wrapText="1"/>
      <protection/>
    </xf>
    <xf numFmtId="49" fontId="32" fillId="8" borderId="0" xfId="0" applyFont="1" applyFill="1" applyBorder="1" applyAlignment="1">
      <alignment horizontal="center" vertical="top" wrapText="1"/>
    </xf>
    <xf numFmtId="49" fontId="7" fillId="8" borderId="0" xfId="0" applyFont="1" applyFill="1" applyBorder="1" applyAlignment="1">
      <alignment horizontal="center" vertical="top" wrapText="1"/>
    </xf>
    <xf numFmtId="49" fontId="7" fillId="8" borderId="0" xfId="0" applyFont="1" applyFill="1" applyBorder="1" applyAlignment="1">
      <alignment horizontal="center" vertical="center" wrapText="1"/>
    </xf>
    <xf numFmtId="49" fontId="0" fillId="0" borderId="0" xfId="0" applyFont="1" applyFill="1" applyBorder="1" applyAlignment="1" applyProtection="1">
      <alignment horizontal="left" vertical="top" wrapText="1" indent="2"/>
      <protection/>
    </xf>
    <xf numFmtId="49" fontId="20" fillId="0" borderId="0" xfId="0" applyFont="1" applyFill="1" applyBorder="1" applyAlignment="1" applyProtection="1">
      <alignment horizontal="center" vertical="top" wrapText="1"/>
      <protection/>
    </xf>
    <xf numFmtId="49" fontId="0" fillId="0" borderId="0" xfId="0" applyFont="1" applyFill="1" applyBorder="1" applyAlignment="1">
      <alignment vertical="top" wrapText="1"/>
    </xf>
    <xf numFmtId="49" fontId="7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 wrapText="1" indent="2"/>
      <protection/>
    </xf>
    <xf numFmtId="0" fontId="0" fillId="0" borderId="0" xfId="0" applyNumberFormat="1" applyFont="1" applyFill="1" applyBorder="1" applyAlignment="1">
      <alignment horizontal="left" vertical="top" wrapText="1"/>
    </xf>
    <xf numFmtId="49" fontId="7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 indent="1"/>
    </xf>
    <xf numFmtId="0" fontId="0" fillId="0" borderId="0" xfId="0" applyNumberFormat="1" applyFont="1" applyFill="1" applyBorder="1" applyAlignment="1">
      <alignment horizontal="left" vertical="top" wrapText="1" indent="2"/>
    </xf>
    <xf numFmtId="49" fontId="0" fillId="0" borderId="0" xfId="0" applyFont="1" applyFill="1" applyBorder="1" applyAlignment="1" applyProtection="1">
      <alignment vertical="center" wrapText="1"/>
      <protection/>
    </xf>
    <xf numFmtId="49" fontId="0" fillId="0" borderId="0" xfId="0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horizontal="left" vertical="center" wrapText="1" indent="2"/>
      <protection/>
    </xf>
    <xf numFmtId="49" fontId="7" fillId="0" borderId="8" xfId="0" applyFont="1" applyBorder="1" applyAlignment="1">
      <alignment horizontal="center" vertical="center" wrapText="1"/>
    </xf>
    <xf numFmtId="49" fontId="0" fillId="0" borderId="8" xfId="0" applyFont="1" applyBorder="1" applyAlignment="1">
      <alignment horizontal="left" vertical="center" wrapText="1" indent="1"/>
    </xf>
    <xf numFmtId="49" fontId="0" fillId="0" borderId="8" xfId="0" applyFont="1" applyBorder="1" applyAlignment="1">
      <alignment vertical="center" wrapText="1"/>
    </xf>
    <xf numFmtId="49" fontId="0" fillId="0" borderId="8" xfId="0" applyFont="1" applyBorder="1" applyAlignment="1" applyProtection="1">
      <alignment vertical="center" wrapText="1"/>
      <protection/>
    </xf>
    <xf numFmtId="49" fontId="0" fillId="0" borderId="8" xfId="0" applyFont="1" applyBorder="1" applyAlignment="1" applyProtection="1">
      <alignment horizontal="left" vertical="center" wrapText="1" indent="1"/>
      <protection/>
    </xf>
    <xf numFmtId="49" fontId="0" fillId="0" borderId="8" xfId="0" applyFont="1" applyBorder="1" applyAlignment="1" applyProtection="1">
      <alignment horizontal="left" vertical="center" wrapText="1" indent="2"/>
      <protection/>
    </xf>
    <xf numFmtId="49" fontId="0" fillId="0" borderId="0" xfId="0" applyFont="1" applyFill="1" applyBorder="1" applyAlignment="1" applyProtection="1">
      <alignment horizontal="left" vertical="top" wrapText="1" indent="1"/>
      <protection/>
    </xf>
    <xf numFmtId="49" fontId="0" fillId="0" borderId="8" xfId="0" applyFont="1" applyBorder="1" applyAlignment="1">
      <alignment vertical="top" wrapText="1"/>
    </xf>
    <xf numFmtId="49" fontId="0" fillId="0" borderId="8" xfId="0" applyFont="1" applyBorder="1" applyAlignment="1">
      <alignment horizontal="left" vertical="top" wrapText="1" indent="1"/>
    </xf>
    <xf numFmtId="49" fontId="0" fillId="0" borderId="8" xfId="0" applyFont="1" applyBorder="1" applyAlignment="1">
      <alignment horizontal="left" vertical="top" wrapText="1" indent="2"/>
    </xf>
    <xf numFmtId="0" fontId="7" fillId="0" borderId="8" xfId="0" applyNumberFormat="1" applyFont="1" applyBorder="1" applyAlignment="1">
      <alignment horizontal="center" vertical="center" wrapText="1"/>
    </xf>
    <xf numFmtId="49" fontId="0" fillId="0" borderId="8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left"/>
      <protection/>
    </xf>
    <xf numFmtId="49" fontId="7" fillId="0" borderId="8" xfId="53" applyNumberFormat="1" applyFont="1" applyFill="1" applyBorder="1" applyAlignment="1" applyProtection="1">
      <alignment horizontal="center" vertical="center" wrapText="1"/>
      <protection/>
    </xf>
    <xf numFmtId="0" fontId="7" fillId="0" borderId="8" xfId="53" applyNumberFormat="1" applyFont="1" applyFill="1" applyBorder="1" applyAlignment="1" applyProtection="1">
      <alignment horizontal="center" vertical="center" wrapText="1"/>
      <protection/>
    </xf>
    <xf numFmtId="0" fontId="18" fillId="0" borderId="8" xfId="53" applyNumberFormat="1" applyFont="1" applyFill="1" applyBorder="1" applyAlignment="1" applyProtection="1">
      <alignment horizontal="center" vertical="center"/>
      <protection/>
    </xf>
    <xf numFmtId="49" fontId="7" fillId="0" borderId="8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8" xfId="53" applyNumberFormat="1" applyFont="1" applyFill="1" applyBorder="1" applyAlignment="1" applyProtection="1">
      <alignment horizontal="left" vertical="center" wrapText="1"/>
      <protection/>
    </xf>
    <xf numFmtId="184" fontId="7" fillId="7" borderId="8" xfId="48" applyNumberFormat="1" applyFont="1" applyFill="1" applyBorder="1" applyAlignment="1" applyProtection="1">
      <alignment horizontal="right" vertical="center" indent="1"/>
      <protection/>
    </xf>
    <xf numFmtId="49" fontId="0" fillId="0" borderId="0" xfId="0" applyAlignment="1" applyProtection="1">
      <alignment vertical="center" wrapText="1"/>
      <protection/>
    </xf>
    <xf numFmtId="0" fontId="0" fillId="0" borderId="8" xfId="0" applyNumberFormat="1" applyFont="1" applyBorder="1" applyAlignment="1">
      <alignment horizontal="left" vertical="top" wrapText="1" indent="1"/>
    </xf>
    <xf numFmtId="49" fontId="7" fillId="0" borderId="13" xfId="0" applyFont="1" applyBorder="1" applyAlignment="1">
      <alignment horizontal="center" vertical="center" wrapText="1"/>
    </xf>
    <xf numFmtId="179" fontId="0" fillId="7" borderId="8" xfId="48" applyNumberFormat="1" applyFont="1" applyFill="1" applyBorder="1" applyAlignment="1" applyProtection="1">
      <alignment horizontal="right" vertical="center" indent="1"/>
      <protection/>
    </xf>
    <xf numFmtId="179" fontId="0" fillId="7" borderId="8" xfId="48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left"/>
      <protection/>
    </xf>
    <xf numFmtId="49" fontId="0" fillId="0" borderId="0" xfId="53" applyNumberFormat="1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 vertical="top" wrapText="1"/>
      <protection/>
    </xf>
    <xf numFmtId="174" fontId="7" fillId="0" borderId="0" xfId="67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179" fontId="0" fillId="0" borderId="8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7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Border="1" applyAlignment="1" applyProtection="1">
      <alignment vertical="top" wrapText="1"/>
      <protection/>
    </xf>
    <xf numFmtId="179" fontId="0" fillId="0" borderId="0" xfId="0" applyNumberFormat="1" applyFont="1" applyBorder="1" applyAlignment="1" applyProtection="1">
      <alignment horizontal="center" vertical="center" wrapText="1"/>
      <protection/>
    </xf>
    <xf numFmtId="179" fontId="0" fillId="0" borderId="0" xfId="0" applyNumberFormat="1" applyFont="1" applyBorder="1" applyAlignment="1">
      <alignment vertical="top" wrapText="1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 applyProtection="1">
      <alignment horizontal="right" vertical="top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top" wrapText="1"/>
      <protection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8" xfId="0" applyNumberFormat="1" applyFont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179" fontId="7" fillId="7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Alignment="1">
      <alignment vertical="top" wrapText="1"/>
    </xf>
    <xf numFmtId="179" fontId="0" fillId="0" borderId="7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Border="1" applyAlignment="1">
      <alignment vertical="top" wrapText="1"/>
    </xf>
    <xf numFmtId="179" fontId="0" fillId="7" borderId="7" xfId="0" applyNumberFormat="1" applyFont="1" applyFill="1" applyBorder="1" applyAlignment="1" applyProtection="1">
      <alignment horizontal="center" vertical="center" wrapText="1"/>
      <protection/>
    </xf>
    <xf numFmtId="179" fontId="0" fillId="0" borderId="7" xfId="0" applyNumberFormat="1" applyFont="1" applyFill="1" applyBorder="1" applyAlignment="1">
      <alignment horizontal="center" vertical="center" wrapText="1"/>
    </xf>
    <xf numFmtId="179" fontId="0" fillId="8" borderId="0" xfId="0" applyNumberFormat="1" applyFont="1" applyFill="1" applyBorder="1" applyAlignment="1" applyProtection="1">
      <alignment horizontal="center" vertical="center" wrapText="1"/>
      <protection/>
    </xf>
    <xf numFmtId="179" fontId="0" fillId="7" borderId="7" xfId="53" applyNumberFormat="1" applyFont="1" applyFill="1" applyBorder="1" applyAlignment="1" applyProtection="1">
      <alignment horizontal="center" vertical="center"/>
      <protection/>
    </xf>
    <xf numFmtId="179" fontId="0" fillId="0" borderId="0" xfId="53" applyNumberFormat="1" applyFont="1" applyFill="1" applyBorder="1" applyAlignment="1" applyProtection="1">
      <alignment horizontal="center" vertical="center"/>
      <protection/>
    </xf>
    <xf numFmtId="179" fontId="0" fillId="8" borderId="0" xfId="53" applyNumberFormat="1" applyFont="1" applyFill="1" applyBorder="1" applyAlignment="1" applyProtection="1">
      <alignment horizontal="center" vertical="center"/>
      <protection/>
    </xf>
    <xf numFmtId="179" fontId="7" fillId="7" borderId="7" xfId="0" applyNumberFormat="1" applyFont="1" applyFill="1" applyBorder="1" applyAlignment="1" applyProtection="1">
      <alignment horizontal="center" vertical="center" wrapText="1"/>
      <protection/>
    </xf>
    <xf numFmtId="179" fontId="7" fillId="8" borderId="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top" wrapText="1"/>
      <protection/>
    </xf>
    <xf numFmtId="179" fontId="0" fillId="8" borderId="0" xfId="0" applyNumberFormat="1" applyFont="1" applyFill="1" applyBorder="1" applyAlignment="1">
      <alignment horizontal="center" vertical="center" wrapText="1"/>
    </xf>
    <xf numFmtId="179" fontId="0" fillId="0" borderId="10" xfId="53" applyNumberFormat="1" applyFont="1" applyBorder="1" applyAlignment="1" applyProtection="1">
      <alignment horizontal="left"/>
      <protection/>
    </xf>
    <xf numFmtId="179" fontId="0" fillId="0" borderId="0" xfId="53" applyNumberFormat="1" applyFont="1" applyBorder="1" applyAlignment="1" applyProtection="1">
      <alignment horizontal="left"/>
      <protection/>
    </xf>
    <xf numFmtId="179" fontId="0" fillId="0" borderId="15" xfId="53" applyNumberFormat="1" applyFont="1" applyBorder="1" applyAlignment="1" applyProtection="1">
      <alignment horizontal="left"/>
      <protection/>
    </xf>
    <xf numFmtId="179" fontId="0" fillId="0" borderId="11" xfId="53" applyNumberFormat="1" applyFont="1" applyBorder="1" applyAlignment="1" applyProtection="1">
      <alignment horizontal="left"/>
      <protection/>
    </xf>
    <xf numFmtId="179" fontId="0" fillId="0" borderId="16" xfId="53" applyNumberFormat="1" applyFont="1" applyBorder="1" applyAlignment="1" applyProtection="1">
      <alignment horizontal="left"/>
      <protection/>
    </xf>
    <xf numFmtId="179" fontId="0" fillId="0" borderId="8" xfId="48" applyNumberFormat="1" applyFont="1" applyFill="1" applyBorder="1" applyAlignment="1" applyProtection="1">
      <alignment horizontal="center" vertical="center"/>
      <protection/>
    </xf>
    <xf numFmtId="178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vertical="top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7" borderId="8" xfId="0" applyNumberFormat="1" applyFont="1" applyFill="1" applyBorder="1" applyAlignment="1" applyProtection="1">
      <alignment horizontal="center" vertical="center" wrapText="1"/>
      <protection/>
    </xf>
    <xf numFmtId="3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7" borderId="8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wrapText="1"/>
      <protection/>
    </xf>
    <xf numFmtId="178" fontId="7" fillId="0" borderId="0" xfId="0" applyNumberFormat="1" applyFont="1" applyFill="1" applyBorder="1" applyAlignment="1" applyProtection="1">
      <alignment horizontal="center" wrapText="1"/>
      <protection/>
    </xf>
    <xf numFmtId="178" fontId="7" fillId="0" borderId="0" xfId="71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8" xfId="0" applyFont="1" applyFill="1" applyBorder="1" applyAlignment="1" applyProtection="1">
      <alignment horizontal="left" vertical="center" wrapText="1" indent="2"/>
      <protection/>
    </xf>
    <xf numFmtId="49" fontId="0" fillId="0" borderId="8" xfId="0" applyFont="1" applyFill="1" applyBorder="1" applyAlignment="1" applyProtection="1">
      <alignment vertical="center" wrapText="1"/>
      <protection/>
    </xf>
    <xf numFmtId="49" fontId="0" fillId="0" borderId="8" xfId="0" applyFont="1" applyFill="1" applyBorder="1" applyAlignment="1" applyProtection="1">
      <alignment horizontal="left" vertical="center" wrapText="1" indent="1"/>
      <protection/>
    </xf>
    <xf numFmtId="178" fontId="7" fillId="0" borderId="0" xfId="0" applyNumberFormat="1" applyFont="1" applyFill="1" applyBorder="1" applyAlignment="1" applyProtection="1">
      <alignment vertical="top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Border="1" applyAlignment="1">
      <alignment vertical="top" wrapText="1"/>
    </xf>
    <xf numFmtId="178" fontId="0" fillId="5" borderId="7" xfId="0" applyNumberFormat="1" applyFont="1" applyFill="1" applyBorder="1" applyAlignment="1" applyProtection="1">
      <alignment horizontal="center" vertical="center" wrapText="1"/>
      <protection locked="0"/>
    </xf>
    <xf numFmtId="178" fontId="0" fillId="7" borderId="7" xfId="0" applyNumberFormat="1" applyFont="1" applyFill="1" applyBorder="1" applyAlignment="1" applyProtection="1">
      <alignment horizontal="center" vertical="center" wrapText="1"/>
      <protection/>
    </xf>
    <xf numFmtId="178" fontId="0" fillId="9" borderId="7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>
      <alignment horizontal="right" vertical="top" wrapText="1"/>
    </xf>
    <xf numFmtId="0" fontId="0" fillId="8" borderId="8" xfId="69" applyFont="1" applyFill="1" applyBorder="1" applyAlignment="1" applyProtection="1">
      <alignment horizontal="center" vertical="center" wrapText="1"/>
      <protection/>
    </xf>
    <xf numFmtId="49" fontId="0" fillId="8" borderId="8" xfId="73" applyNumberFormat="1" applyFont="1" applyFill="1" applyBorder="1" applyAlignment="1" applyProtection="1">
      <alignment horizontal="center" vertical="center" wrapText="1"/>
      <protection/>
    </xf>
    <xf numFmtId="0" fontId="0" fillId="8" borderId="0" xfId="69" applyFont="1" applyFill="1" applyBorder="1" applyAlignment="1" applyProtection="1">
      <alignment horizontal="right" vertical="center" wrapText="1" indent="1"/>
      <protection/>
    </xf>
    <xf numFmtId="0" fontId="0" fillId="8" borderId="0" xfId="75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73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75" applyNumberFormat="1" applyFont="1" applyFill="1" applyBorder="1" applyAlignment="1" applyProtection="1">
      <alignment horizontal="right" vertical="center" wrapText="1" indent="1"/>
      <protection/>
    </xf>
    <xf numFmtId="0" fontId="7" fillId="0" borderId="9" xfId="53" applyFont="1" applyFill="1" applyBorder="1" applyAlignment="1" applyProtection="1">
      <alignment horizontal="center" vertical="center" wrapText="1"/>
      <protection/>
    </xf>
    <xf numFmtId="49" fontId="0" fillId="0" borderId="8" xfId="53" applyNumberFormat="1" applyFont="1" applyFill="1" applyBorder="1" applyAlignment="1" applyProtection="1">
      <alignment horizontal="center" vertical="center" wrapText="1"/>
      <protection/>
    </xf>
    <xf numFmtId="49" fontId="0" fillId="0" borderId="8" xfId="0" applyBorder="1" applyAlignment="1">
      <alignment vertical="center" wrapText="1"/>
    </xf>
    <xf numFmtId="49" fontId="0" fillId="0" borderId="8" xfId="0" applyBorder="1" applyAlignment="1">
      <alignment horizontal="center" vertical="center" wrapText="1"/>
    </xf>
    <xf numFmtId="179" fontId="0" fillId="7" borderId="8" xfId="0" applyNumberFormat="1" applyFill="1" applyBorder="1" applyAlignment="1" applyProtection="1">
      <alignment horizontal="center" vertical="center" wrapText="1"/>
      <protection/>
    </xf>
    <xf numFmtId="0" fontId="0" fillId="0" borderId="8" xfId="53" applyNumberFormat="1" applyFont="1" applyBorder="1" applyAlignment="1" applyProtection="1">
      <alignment horizontal="center" vertical="center"/>
      <protection/>
    </xf>
    <xf numFmtId="0" fontId="7" fillId="0" borderId="8" xfId="53" applyNumberFormat="1" applyFont="1" applyFill="1" applyBorder="1" applyAlignment="1" applyProtection="1">
      <alignment horizontal="right" vertical="center"/>
      <protection/>
    </xf>
    <xf numFmtId="179" fontId="0" fillId="0" borderId="8" xfId="0" applyNumberFormat="1" applyFill="1" applyBorder="1" applyAlignment="1" applyProtection="1">
      <alignment horizontal="center" vertical="center" wrapText="1"/>
      <protection/>
    </xf>
    <xf numFmtId="174" fontId="7" fillId="7" borderId="8" xfId="67" applyNumberFormat="1" applyFont="1" applyFill="1" applyBorder="1" applyAlignment="1" applyProtection="1">
      <alignment horizontal="left" vertical="center" wrapText="1"/>
      <protection/>
    </xf>
    <xf numFmtId="179" fontId="0" fillId="7" borderId="8" xfId="78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53" applyNumberFormat="1" applyFont="1" applyFill="1" applyBorder="1" applyAlignment="1" applyProtection="1">
      <alignment horizontal="center" vertical="center" wrapText="1"/>
      <protection/>
    </xf>
    <xf numFmtId="0" fontId="18" fillId="0" borderId="11" xfId="53" applyNumberFormat="1" applyFont="1" applyFill="1" applyBorder="1" applyAlignment="1" applyProtection="1">
      <alignment horizontal="center" vertical="center"/>
      <protection/>
    </xf>
    <xf numFmtId="4" fontId="7" fillId="0" borderId="10" xfId="48" applyFont="1" applyFill="1" applyBorder="1" applyAlignment="1" applyProtection="1">
      <alignment horizontal="center" vertical="center"/>
      <protection/>
    </xf>
    <xf numFmtId="4" fontId="7" fillId="0" borderId="15" xfId="48" applyFont="1" applyFill="1" applyBorder="1" applyAlignment="1" applyProtection="1">
      <alignment horizontal="center" vertical="center"/>
      <protection/>
    </xf>
    <xf numFmtId="4" fontId="7" fillId="0" borderId="11" xfId="48" applyFont="1" applyFill="1" applyBorder="1" applyAlignment="1" applyProtection="1">
      <alignment horizontal="center" vertical="center"/>
      <protection/>
    </xf>
    <xf numFmtId="0" fontId="0" fillId="8" borderId="0" xfId="69" applyFont="1" applyFill="1" applyBorder="1" applyAlignment="1" applyProtection="1">
      <alignment horizontal="right" vertical="center" wrapText="1" indent="1"/>
      <protection/>
    </xf>
    <xf numFmtId="0" fontId="14" fillId="0" borderId="9" xfId="43" applyFont="1" applyBorder="1" applyAlignment="1" applyProtection="1">
      <alignment/>
      <protection/>
    </xf>
    <xf numFmtId="0" fontId="0" fillId="0" borderId="9" xfId="43" applyFont="1" applyBorder="1" applyAlignment="1" applyProtection="1">
      <alignment horizontal="right"/>
      <protection/>
    </xf>
    <xf numFmtId="186" fontId="0" fillId="7" borderId="8" xfId="78" applyNumberFormat="1" applyFont="1" applyFill="1" applyBorder="1" applyAlignment="1" applyProtection="1">
      <alignment horizontal="center" vertical="center"/>
      <protection/>
    </xf>
    <xf numFmtId="49" fontId="32" fillId="0" borderId="0" xfId="0" applyFont="1" applyBorder="1" applyAlignment="1">
      <alignment horizontal="center" vertical="center" wrapText="1"/>
    </xf>
    <xf numFmtId="0" fontId="32" fillId="0" borderId="8" xfId="53" applyNumberFormat="1" applyFont="1" applyFill="1" applyBorder="1" applyAlignment="1" applyProtection="1">
      <alignment horizontal="center" vertical="center"/>
      <protection/>
    </xf>
    <xf numFmtId="49" fontId="0" fillId="5" borderId="8" xfId="48" applyNumberFormat="1" applyFont="1" applyBorder="1" applyAlignment="1" applyProtection="1">
      <alignment horizontal="center" vertical="center" wrapText="1"/>
      <protection locked="0"/>
    </xf>
    <xf numFmtId="49" fontId="7" fillId="0" borderId="0" xfId="0" applyFont="1" applyFill="1" applyBorder="1" applyAlignment="1" applyProtection="1">
      <alignment vertical="top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Font="1" applyFill="1" applyBorder="1" applyAlignment="1">
      <alignment vertical="top" wrapText="1"/>
    </xf>
    <xf numFmtId="49" fontId="23" fillId="0" borderId="0" xfId="0" applyFont="1" applyFill="1" applyBorder="1" applyAlignment="1" applyProtection="1">
      <alignment vertical="top" wrapText="1"/>
      <protection/>
    </xf>
    <xf numFmtId="49" fontId="7" fillId="0" borderId="8" xfId="0" applyFont="1" applyFill="1" applyBorder="1" applyAlignment="1">
      <alignment horizontal="center" vertical="center" wrapText="1"/>
    </xf>
    <xf numFmtId="49" fontId="7" fillId="0" borderId="7" xfId="0" applyFont="1" applyFill="1" applyBorder="1" applyAlignment="1">
      <alignment horizontal="center" vertical="top" wrapText="1"/>
    </xf>
    <xf numFmtId="49" fontId="32" fillId="0" borderId="7" xfId="0" applyFont="1" applyFill="1" applyBorder="1" applyAlignment="1">
      <alignment horizontal="center" vertical="top" wrapText="1"/>
    </xf>
    <xf numFmtId="49" fontId="7" fillId="0" borderId="13" xfId="0" applyFont="1" applyFill="1" applyBorder="1" applyAlignment="1">
      <alignment horizontal="center" vertical="center" wrapText="1"/>
    </xf>
    <xf numFmtId="49" fontId="7" fillId="0" borderId="0" xfId="0" applyFont="1" applyFill="1" applyAlignment="1">
      <alignment vertical="top" wrapText="1"/>
    </xf>
    <xf numFmtId="49" fontId="16" fillId="0" borderId="0" xfId="0" applyFont="1" applyFill="1" applyBorder="1" applyAlignment="1" applyProtection="1">
      <alignment horizontal="right" vertical="top"/>
      <protection/>
    </xf>
    <xf numFmtId="49" fontId="7" fillId="0" borderId="7" xfId="0" applyFont="1" applyFill="1" applyBorder="1" applyAlignment="1">
      <alignment horizontal="center" vertical="center" wrapText="1"/>
    </xf>
    <xf numFmtId="49" fontId="32" fillId="0" borderId="7" xfId="0" applyFont="1" applyFill="1" applyBorder="1" applyAlignment="1">
      <alignment horizontal="center" vertical="center" wrapText="1"/>
    </xf>
    <xf numFmtId="49" fontId="0" fillId="0" borderId="0" xfId="0" applyFont="1" applyFill="1" applyAlignment="1">
      <alignment vertical="top" wrapText="1"/>
    </xf>
    <xf numFmtId="49" fontId="0" fillId="0" borderId="0" xfId="0" applyFont="1" applyFill="1" applyAlignment="1">
      <alignment vertical="top"/>
    </xf>
    <xf numFmtId="49" fontId="0" fillId="0" borderId="8" xfId="0" applyFont="1" applyFill="1" applyBorder="1" applyAlignment="1" applyProtection="1">
      <alignment horizontal="center" vertical="center" wrapText="1"/>
      <protection/>
    </xf>
    <xf numFmtId="17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 wrapText="1"/>
      <protection/>
    </xf>
    <xf numFmtId="49" fontId="22" fillId="0" borderId="0" xfId="0" applyFont="1" applyFill="1" applyBorder="1" applyAlignment="1" applyProtection="1">
      <alignment vertical="top"/>
      <protection/>
    </xf>
    <xf numFmtId="0" fontId="34" fillId="0" borderId="18" xfId="53" applyFont="1" applyFill="1" applyBorder="1" applyAlignment="1" applyProtection="1">
      <alignment horizontal="center" vertical="center" wrapText="1"/>
      <protection/>
    </xf>
    <xf numFmtId="0" fontId="7" fillId="7" borderId="19" xfId="53" applyFont="1" applyFill="1" applyBorder="1" applyAlignment="1" applyProtection="1">
      <alignment horizontal="center" vertical="center" wrapText="1"/>
      <protection/>
    </xf>
    <xf numFmtId="0" fontId="0" fillId="0" borderId="0" xfId="43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179" fontId="7" fillId="0" borderId="0" xfId="48" applyNumberFormat="1" applyFont="1" applyFill="1" applyBorder="1" applyAlignment="1" applyProtection="1">
      <alignment horizontal="center" vertical="center"/>
      <protection/>
    </xf>
    <xf numFmtId="179" fontId="0" fillId="0" borderId="0" xfId="48" applyNumberFormat="1" applyFont="1" applyFill="1" applyBorder="1" applyAlignment="1" applyProtection="1">
      <alignment horizontal="right" vertical="center" indent="1"/>
      <protection/>
    </xf>
    <xf numFmtId="179" fontId="7" fillId="0" borderId="0" xfId="48" applyNumberFormat="1" applyFont="1" applyFill="1" applyBorder="1" applyAlignment="1" applyProtection="1">
      <alignment horizontal="right" vertical="center" indent="1"/>
      <protection/>
    </xf>
    <xf numFmtId="184" fontId="7" fillId="0" borderId="0" xfId="48" applyNumberFormat="1" applyFont="1" applyFill="1" applyBorder="1" applyAlignment="1" applyProtection="1">
      <alignment horizontal="right" vertical="center" indent="1"/>
      <protection/>
    </xf>
    <xf numFmtId="2" fontId="0" fillId="7" borderId="8" xfId="0" applyNumberFormat="1" applyFill="1" applyBorder="1" applyAlignment="1" applyProtection="1">
      <alignment horizontal="center" vertical="center" wrapText="1"/>
      <protection/>
    </xf>
    <xf numFmtId="49" fontId="0" fillId="0" borderId="20" xfId="0" applyFont="1" applyBorder="1" applyAlignment="1">
      <alignment horizontal="left" vertical="center" wrapText="1" indent="1"/>
    </xf>
    <xf numFmtId="49" fontId="0" fillId="0" borderId="21" xfId="0" applyFont="1" applyBorder="1" applyAlignment="1" applyProtection="1">
      <alignment vertical="center" wrapText="1"/>
      <protection/>
    </xf>
    <xf numFmtId="49" fontId="0" fillId="0" borderId="14" xfId="0" applyFont="1" applyBorder="1" applyAlignment="1">
      <alignment horizontal="left" vertical="center" wrapText="1" indent="1"/>
    </xf>
    <xf numFmtId="179" fontId="0" fillId="0" borderId="0" xfId="53" applyNumberFormat="1" applyFont="1" applyFill="1" applyBorder="1" applyAlignment="1" applyProtection="1">
      <alignment horizontal="left"/>
      <protection/>
    </xf>
    <xf numFmtId="3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9" fontId="0" fillId="0" borderId="0" xfId="0" applyFont="1" applyFill="1" applyBorder="1" applyAlignment="1" applyProtection="1">
      <alignment horizontal="left" vertical="center" indent="1"/>
      <protection/>
    </xf>
    <xf numFmtId="49" fontId="0" fillId="0" borderId="0" xfId="0" applyFont="1" applyBorder="1" applyAlignment="1">
      <alignment vertical="center" wrapText="1"/>
    </xf>
    <xf numFmtId="49" fontId="0" fillId="0" borderId="0" xfId="0" applyFont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horizontal="left" vertical="center" wrapText="1" indent="1"/>
      <protection/>
    </xf>
    <xf numFmtId="49" fontId="0" fillId="0" borderId="0" xfId="0" applyFont="1" applyBorder="1" applyAlignment="1" applyProtection="1">
      <alignment horizontal="left" vertical="center" wrapText="1" indent="2"/>
      <protection/>
    </xf>
    <xf numFmtId="49" fontId="0" fillId="0" borderId="0" xfId="0" applyFont="1" applyBorder="1" applyAlignment="1">
      <alignment horizontal="left" vertical="top" wrapText="1" indent="1"/>
    </xf>
    <xf numFmtId="49" fontId="0" fillId="0" borderId="0" xfId="0" applyFont="1" applyBorder="1" applyAlignment="1">
      <alignment horizontal="left" vertical="top" wrapText="1" indent="2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9" fontId="0" fillId="7" borderId="22" xfId="0" applyNumberFormat="1" applyFont="1" applyFill="1" applyBorder="1" applyAlignment="1" applyProtection="1">
      <alignment horizontal="center" vertical="center" wrapText="1"/>
      <protection/>
    </xf>
    <xf numFmtId="179" fontId="0" fillId="0" borderId="22" xfId="0" applyNumberFormat="1" applyFont="1" applyFill="1" applyBorder="1" applyAlignment="1" applyProtection="1">
      <alignment horizontal="center" vertical="center" wrapText="1"/>
      <protection/>
    </xf>
    <xf numFmtId="178" fontId="0" fillId="0" borderId="22" xfId="0" applyNumberFormat="1" applyFont="1" applyFill="1" applyBorder="1" applyAlignment="1" applyProtection="1">
      <alignment horizontal="center" vertical="center" wrapText="1"/>
      <protection/>
    </xf>
    <xf numFmtId="178" fontId="0" fillId="7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Font="1" applyFill="1" applyBorder="1" applyAlignment="1">
      <alignment horizontal="center" vertical="center" wrapText="1"/>
    </xf>
    <xf numFmtId="0" fontId="23" fillId="0" borderId="0" xfId="43" applyFont="1" applyBorder="1" applyAlignment="1" applyProtection="1">
      <alignment horizontal="left" indent="1"/>
      <protection/>
    </xf>
    <xf numFmtId="0" fontId="23" fillId="0" borderId="0" xfId="43" applyFont="1" applyFill="1" applyBorder="1" applyAlignment="1" applyProtection="1">
      <alignment horizontal="left" indent="1"/>
      <protection/>
    </xf>
    <xf numFmtId="0" fontId="7" fillId="0" borderId="0" xfId="72" applyFont="1" applyFill="1" applyBorder="1" applyAlignment="1" applyProtection="1">
      <alignment vertical="center" wrapText="1"/>
      <protection/>
    </xf>
    <xf numFmtId="0" fontId="0" fillId="0" borderId="0" xfId="56" applyFont="1" applyFill="1" applyBorder="1" applyAlignment="1" applyProtection="1">
      <alignment vertical="top" wrapText="1"/>
      <protection/>
    </xf>
    <xf numFmtId="0" fontId="0" fillId="0" borderId="0" xfId="71" applyFont="1" applyAlignment="1">
      <alignment vertical="center" wrapText="1"/>
      <protection/>
    </xf>
    <xf numFmtId="49" fontId="0" fillId="0" borderId="0" xfId="0" applyFont="1" applyAlignment="1">
      <alignment vertical="top"/>
    </xf>
    <xf numFmtId="49" fontId="0" fillId="0" borderId="0" xfId="0" applyFont="1" applyFill="1" applyAlignment="1">
      <alignment vertical="top"/>
    </xf>
    <xf numFmtId="0" fontId="0" fillId="0" borderId="0" xfId="56" applyFont="1" applyBorder="1" applyAlignment="1" applyProtection="1">
      <alignment vertical="top" wrapText="1"/>
      <protection/>
    </xf>
    <xf numFmtId="0" fontId="0" fillId="8" borderId="4" xfId="56" applyFont="1" applyFill="1" applyBorder="1" applyAlignment="1" applyProtection="1">
      <alignment vertical="top" wrapText="1"/>
      <protection/>
    </xf>
    <xf numFmtId="49" fontId="0" fillId="0" borderId="4" xfId="0" applyFont="1" applyBorder="1" applyAlignment="1">
      <alignment vertical="top"/>
    </xf>
    <xf numFmtId="0" fontId="0" fillId="8" borderId="0" xfId="56" applyFont="1" applyFill="1" applyBorder="1" applyAlignment="1" applyProtection="1">
      <alignment vertical="top" wrapText="1"/>
      <protection/>
    </xf>
    <xf numFmtId="49" fontId="0" fillId="0" borderId="0" xfId="0" applyFont="1" applyBorder="1" applyAlignment="1">
      <alignment vertical="top"/>
    </xf>
    <xf numFmtId="0" fontId="7" fillId="0" borderId="0" xfId="71" applyFont="1" applyFill="1" applyBorder="1" applyAlignment="1" applyProtection="1">
      <alignment vertical="center" wrapText="1"/>
      <protection/>
    </xf>
    <xf numFmtId="0" fontId="7" fillId="0" borderId="0" xfId="7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78" fontId="0" fillId="7" borderId="8" xfId="48" applyNumberFormat="1" applyFont="1" applyFill="1" applyBorder="1" applyAlignment="1" applyProtection="1">
      <alignment horizontal="center" vertical="center"/>
      <protection/>
    </xf>
    <xf numFmtId="49" fontId="0" fillId="0" borderId="23" xfId="0" applyFont="1" applyBorder="1" applyAlignment="1">
      <alignment horizontal="left" vertical="center" wrapText="1" indent="1"/>
    </xf>
    <xf numFmtId="3" fontId="0" fillId="7" borderId="8" xfId="48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Alignment="1" applyProtection="1">
      <alignment vertical="top"/>
      <protection/>
    </xf>
    <xf numFmtId="49" fontId="54" fillId="0" borderId="8" xfId="0" applyFont="1" applyBorder="1" applyAlignment="1">
      <alignment horizontal="center" vertical="center" wrapText="1"/>
    </xf>
    <xf numFmtId="49" fontId="54" fillId="0" borderId="0" xfId="0" applyFont="1" applyBorder="1" applyAlignment="1">
      <alignment horizontal="center" vertical="center" wrapText="1"/>
    </xf>
    <xf numFmtId="49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71" applyFont="1" applyFill="1" applyBorder="1" applyAlignment="1" applyProtection="1">
      <alignment vertical="center" wrapText="1"/>
      <protection/>
    </xf>
    <xf numFmtId="49" fontId="55" fillId="0" borderId="0" xfId="0" applyFont="1" applyFill="1" applyBorder="1" applyAlignment="1" applyProtection="1">
      <alignment vertical="top"/>
      <protection/>
    </xf>
    <xf numFmtId="49" fontId="54" fillId="0" borderId="8" xfId="0" applyFont="1" applyFill="1" applyBorder="1" applyAlignment="1" applyProtection="1">
      <alignment horizontal="center" vertical="center" wrapText="1"/>
      <protection/>
    </xf>
    <xf numFmtId="49" fontId="55" fillId="0" borderId="7" xfId="0" applyFont="1" applyBorder="1" applyAlignment="1">
      <alignment horizontal="center" vertical="top" wrapText="1"/>
    </xf>
    <xf numFmtId="49" fontId="55" fillId="0" borderId="0" xfId="0" applyFont="1" applyFill="1" applyBorder="1" applyAlignment="1">
      <alignment horizontal="center" vertical="center" wrapText="1"/>
    </xf>
    <xf numFmtId="49" fontId="54" fillId="0" borderId="0" xfId="0" applyFont="1" applyBorder="1" applyAlignment="1">
      <alignment vertical="top" wrapText="1"/>
    </xf>
    <xf numFmtId="49" fontId="54" fillId="0" borderId="0" xfId="0" applyFont="1" applyFill="1" applyBorder="1" applyAlignment="1" applyProtection="1">
      <alignment horizontal="center" vertical="top" wrapText="1"/>
      <protection/>
    </xf>
    <xf numFmtId="49" fontId="55" fillId="0" borderId="22" xfId="0" applyFont="1" applyFill="1" applyBorder="1" applyAlignment="1">
      <alignment horizontal="center" vertical="center" wrapText="1"/>
    </xf>
    <xf numFmtId="49" fontId="55" fillId="0" borderId="8" xfId="0" applyFont="1" applyFill="1" applyBorder="1" applyAlignment="1">
      <alignment horizontal="center" vertical="center" wrapText="1"/>
    </xf>
    <xf numFmtId="49" fontId="55" fillId="0" borderId="8" xfId="0" applyFont="1" applyBorder="1" applyAlignment="1">
      <alignment horizontal="center" vertical="center" wrapText="1"/>
    </xf>
    <xf numFmtId="49" fontId="55" fillId="0" borderId="0" xfId="0" applyFont="1" applyFill="1" applyBorder="1" applyAlignment="1">
      <alignment horizontal="center" vertical="top" wrapText="1"/>
    </xf>
    <xf numFmtId="49" fontId="55" fillId="8" borderId="0" xfId="0" applyFont="1" applyFill="1" applyBorder="1" applyAlignment="1">
      <alignment horizontal="center" vertical="top" wrapText="1"/>
    </xf>
    <xf numFmtId="49" fontId="55" fillId="0" borderId="7" xfId="0" applyFont="1" applyFill="1" applyBorder="1" applyAlignment="1">
      <alignment horizontal="center" vertical="top" wrapText="1"/>
    </xf>
    <xf numFmtId="49" fontId="55" fillId="0" borderId="8" xfId="0" applyFont="1" applyBorder="1" applyAlignment="1">
      <alignment horizontal="center" vertical="top" wrapText="1"/>
    </xf>
    <xf numFmtId="49" fontId="55" fillId="0" borderId="0" xfId="0" applyFont="1" applyBorder="1" applyAlignment="1">
      <alignment horizontal="center" vertical="top" wrapText="1"/>
    </xf>
    <xf numFmtId="49" fontId="55" fillId="0" borderId="0" xfId="0" applyFont="1" applyFill="1" applyBorder="1" applyAlignment="1" applyProtection="1">
      <alignment horizontal="center" vertical="top" wrapText="1"/>
      <protection/>
    </xf>
    <xf numFmtId="3" fontId="55" fillId="0" borderId="8" xfId="0" applyNumberFormat="1" applyFont="1" applyBorder="1" applyAlignment="1">
      <alignment horizontal="center" vertical="top" wrapText="1"/>
    </xf>
    <xf numFmtId="3" fontId="55" fillId="0" borderId="0" xfId="0" applyNumberFormat="1" applyFont="1" applyFill="1" applyBorder="1" applyAlignment="1" applyProtection="1">
      <alignment horizontal="center" vertical="top" wrapText="1"/>
      <protection/>
    </xf>
    <xf numFmtId="3" fontId="55" fillId="0" borderId="8" xfId="0" applyNumberFormat="1" applyFont="1" applyFill="1" applyBorder="1" applyAlignment="1" applyProtection="1">
      <alignment horizontal="center" vertical="top" wrapText="1"/>
      <protection/>
    </xf>
    <xf numFmtId="3" fontId="55" fillId="0" borderId="0" xfId="0" applyNumberFormat="1" applyFont="1" applyFill="1" applyBorder="1" applyAlignment="1" applyProtection="1">
      <alignment vertical="top"/>
      <protection/>
    </xf>
    <xf numFmtId="49" fontId="0" fillId="0" borderId="6" xfId="0" applyFont="1" applyBorder="1" applyAlignment="1">
      <alignment vertical="top"/>
    </xf>
    <xf numFmtId="0" fontId="20" fillId="0" borderId="6" xfId="56" applyFont="1" applyFill="1" applyBorder="1" applyAlignment="1" applyProtection="1">
      <alignment horizontal="center" vertical="top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 indent="2"/>
      <protection/>
    </xf>
    <xf numFmtId="0" fontId="0" fillId="0" borderId="0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Border="1" applyAlignment="1" applyProtection="1">
      <alignment horizontal="center" vertical="center" wrapText="1"/>
      <protection/>
    </xf>
    <xf numFmtId="0" fontId="14" fillId="0" borderId="0" xfId="43" applyFont="1" applyFill="1" applyBorder="1" applyAlignment="1" applyProtection="1">
      <alignment horizontal="left" indent="1"/>
      <protection/>
    </xf>
    <xf numFmtId="0" fontId="0" fillId="0" borderId="4" xfId="56" applyFont="1" applyFill="1" applyBorder="1" applyAlignment="1" applyProtection="1">
      <alignment vertical="top" wrapText="1"/>
      <protection/>
    </xf>
    <xf numFmtId="0" fontId="20" fillId="0" borderId="0" xfId="56" applyFont="1" applyFill="1" applyBorder="1" applyAlignment="1" applyProtection="1">
      <alignment horizontal="center" vertical="top" wrapText="1"/>
      <protection/>
    </xf>
    <xf numFmtId="49" fontId="0" fillId="0" borderId="0" xfId="0" applyFont="1" applyFill="1" applyAlignment="1" applyProtection="1">
      <alignment vertical="top" wrapText="1"/>
      <protection/>
    </xf>
    <xf numFmtId="49" fontId="5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69" applyFont="1" applyFill="1" applyBorder="1" applyAlignment="1" applyProtection="1">
      <alignment horizontal="right" vertical="center" wrapText="1" indent="1"/>
      <protection/>
    </xf>
    <xf numFmtId="178" fontId="0" fillId="0" borderId="8" xfId="48" applyNumberFormat="1" applyFont="1" applyFill="1" applyBorder="1" applyAlignment="1" applyProtection="1">
      <alignment horizontal="center" vertical="center"/>
      <protection/>
    </xf>
    <xf numFmtId="179" fontId="7" fillId="0" borderId="8" xfId="53" applyNumberFormat="1" applyFont="1" applyFill="1" applyBorder="1" applyAlignment="1" applyProtection="1">
      <alignment horizontal="left" vertical="center"/>
      <protection/>
    </xf>
    <xf numFmtId="49" fontId="0" fillId="0" borderId="20" xfId="0" applyBorder="1" applyAlignment="1">
      <alignment horizontal="center" vertical="center" wrapText="1"/>
    </xf>
    <xf numFmtId="49" fontId="0" fillId="0" borderId="20" xfId="0" applyBorder="1" applyAlignment="1">
      <alignment vertical="center" wrapText="1"/>
    </xf>
    <xf numFmtId="179" fontId="0" fillId="7" borderId="20" xfId="0" applyNumberFormat="1" applyFill="1" applyBorder="1" applyAlignment="1" applyProtection="1">
      <alignment horizontal="center" vertical="center" wrapText="1"/>
      <protection/>
    </xf>
    <xf numFmtId="49" fontId="0" fillId="0" borderId="23" xfId="0" applyFill="1" applyBorder="1" applyAlignment="1" applyProtection="1">
      <alignment horizontal="center" vertical="center" wrapText="1"/>
      <protection/>
    </xf>
    <xf numFmtId="49" fontId="0" fillId="0" borderId="23" xfId="0" applyFill="1" applyBorder="1" applyAlignment="1" applyProtection="1">
      <alignment vertical="center" wrapText="1"/>
      <protection/>
    </xf>
    <xf numFmtId="178" fontId="0" fillId="7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right" vertical="top" wrapText="1"/>
      <protection/>
    </xf>
    <xf numFmtId="49" fontId="55" fillId="0" borderId="23" xfId="0" applyFont="1" applyBorder="1" applyAlignment="1">
      <alignment horizontal="center" vertical="top" wrapText="1"/>
    </xf>
    <xf numFmtId="49" fontId="55" fillId="0" borderId="23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Border="1" applyAlignment="1" applyProtection="1">
      <alignment horizontal="left" vertical="top" wrapText="1" indent="1"/>
      <protection/>
    </xf>
    <xf numFmtId="0" fontId="0" fillId="0" borderId="23" xfId="0" applyNumberFormat="1" applyFont="1" applyBorder="1" applyAlignment="1" applyProtection="1">
      <alignment horizontal="left" vertical="top" wrapText="1" indent="2"/>
      <protection/>
    </xf>
    <xf numFmtId="0" fontId="0" fillId="0" borderId="23" xfId="0" applyNumberFormat="1" applyFont="1" applyFill="1" applyBorder="1" applyAlignment="1">
      <alignment horizontal="left" vertical="top" wrapText="1"/>
    </xf>
    <xf numFmtId="0" fontId="0" fillId="0" borderId="23" xfId="0" applyNumberFormat="1" applyBorder="1" applyAlignment="1" applyProtection="1">
      <alignment horizontal="left" vertical="top" wrapText="1" indent="1"/>
      <protection/>
    </xf>
    <xf numFmtId="49" fontId="0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23" xfId="0" applyNumberFormat="1" applyFont="1" applyFill="1" applyBorder="1" applyAlignment="1" applyProtection="1">
      <alignment horizontal="left" vertical="top" wrapText="1" indent="2"/>
      <protection/>
    </xf>
    <xf numFmtId="49" fontId="0" fillId="0" borderId="23" xfId="0" applyNumberFormat="1" applyFont="1" applyFill="1" applyBorder="1" applyAlignment="1" applyProtection="1">
      <alignment horizontal="left" vertical="top" wrapText="1" indent="2"/>
      <protection/>
    </xf>
    <xf numFmtId="49" fontId="7" fillId="0" borderId="23" xfId="0" applyFont="1" applyBorder="1" applyAlignment="1">
      <alignment horizontal="center" vertical="center" wrapText="1"/>
    </xf>
    <xf numFmtId="3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3" xfId="0" applyNumberFormat="1" applyFont="1" applyFill="1" applyBorder="1" applyAlignment="1" applyProtection="1">
      <alignment horizontal="center" vertical="center" wrapText="1"/>
      <protection/>
    </xf>
    <xf numFmtId="178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78" fontId="0" fillId="7" borderId="23" xfId="0" applyNumberFormat="1" applyFont="1" applyFill="1" applyBorder="1" applyAlignment="1" applyProtection="1">
      <alignment horizontal="center" vertical="center" wrapText="1"/>
      <protection/>
    </xf>
    <xf numFmtId="178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Font="1" applyBorder="1" applyAlignment="1">
      <alignment horizontal="center" vertical="top" wrapText="1"/>
    </xf>
    <xf numFmtId="179" fontId="0" fillId="7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Font="1" applyFill="1" applyBorder="1" applyAlignment="1">
      <alignment horizontal="center" vertical="center" wrapText="1"/>
    </xf>
    <xf numFmtId="179" fontId="7" fillId="7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>
      <alignment horizontal="left" vertical="top" wrapText="1" indent="1"/>
    </xf>
    <xf numFmtId="0" fontId="0" fillId="0" borderId="23" xfId="0" applyNumberFormat="1" applyFont="1" applyFill="1" applyBorder="1" applyAlignment="1">
      <alignment horizontal="left" vertical="top" wrapText="1" indent="2"/>
    </xf>
    <xf numFmtId="179" fontId="0" fillId="0" borderId="8" xfId="48" applyNumberFormat="1" applyFont="1" applyFill="1" applyBorder="1" applyAlignment="1" applyProtection="1">
      <alignment horizontal="right" vertical="center" indent="1"/>
      <protection/>
    </xf>
    <xf numFmtId="179" fontId="7" fillId="0" borderId="8" xfId="48" applyNumberFormat="1" applyFont="1" applyFill="1" applyBorder="1" applyAlignment="1" applyProtection="1">
      <alignment horizontal="right" vertical="center" indent="1"/>
      <protection/>
    </xf>
    <xf numFmtId="184" fontId="7" fillId="0" borderId="8" xfId="48" applyNumberFormat="1" applyFont="1" applyFill="1" applyBorder="1" applyAlignment="1" applyProtection="1">
      <alignment horizontal="right" vertical="center" indent="1"/>
      <protection/>
    </xf>
    <xf numFmtId="179" fontId="7" fillId="0" borderId="21" xfId="48" applyNumberFormat="1" applyFont="1" applyFill="1" applyBorder="1" applyAlignment="1" applyProtection="1">
      <alignment horizontal="right" vertical="center" indent="1"/>
      <protection/>
    </xf>
    <xf numFmtId="179" fontId="0" fillId="0" borderId="21" xfId="48" applyNumberFormat="1" applyFont="1" applyFill="1" applyBorder="1" applyAlignment="1" applyProtection="1">
      <alignment horizontal="right" vertical="center" indent="1"/>
      <protection/>
    </xf>
    <xf numFmtId="0" fontId="32" fillId="0" borderId="20" xfId="53" applyNumberFormat="1" applyFont="1" applyFill="1" applyBorder="1" applyAlignment="1" applyProtection="1">
      <alignment horizontal="center" vertical="center"/>
      <protection/>
    </xf>
    <xf numFmtId="49" fontId="7" fillId="0" borderId="23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23" xfId="53" applyNumberFormat="1" applyFont="1" applyFill="1" applyBorder="1" applyAlignment="1" applyProtection="1">
      <alignment horizontal="left" vertical="center" wrapText="1"/>
      <protection/>
    </xf>
    <xf numFmtId="49" fontId="0" fillId="0" borderId="23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0" applyFont="1" applyFill="1" applyBorder="1" applyAlignment="1">
      <alignment vertical="center" wrapText="1"/>
    </xf>
    <xf numFmtId="179" fontId="0" fillId="7" borderId="23" xfId="48" applyNumberFormat="1" applyFont="1" applyFill="1" applyBorder="1" applyAlignment="1" applyProtection="1">
      <alignment horizontal="right" vertical="center" indent="1"/>
      <protection/>
    </xf>
    <xf numFmtId="49" fontId="0" fillId="0" borderId="23" xfId="0" applyFont="1" applyFill="1" applyBorder="1" applyAlignment="1" applyProtection="1">
      <alignment vertical="center" wrapText="1"/>
      <protection/>
    </xf>
    <xf numFmtId="16" fontId="0" fillId="0" borderId="23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7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24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24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25" xfId="53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Font="1" applyFill="1" applyBorder="1" applyAlignment="1">
      <alignment vertical="center" wrapText="1"/>
    </xf>
    <xf numFmtId="49" fontId="7" fillId="0" borderId="21" xfId="53" applyNumberFormat="1" applyFont="1" applyFill="1" applyBorder="1" applyAlignment="1" applyProtection="1">
      <alignment horizontal="left" vertical="center" wrapText="1"/>
      <protection/>
    </xf>
    <xf numFmtId="49" fontId="0" fillId="0" borderId="26" xfId="0" applyNumberFormat="1" applyFont="1" applyFill="1" applyBorder="1" applyAlignment="1">
      <alignment vertical="center" wrapText="1"/>
    </xf>
    <xf numFmtId="179" fontId="0" fillId="0" borderId="16" xfId="53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79" fontId="7" fillId="0" borderId="23" xfId="48" applyNumberFormat="1" applyFont="1" applyFill="1" applyBorder="1" applyAlignment="1" applyProtection="1">
      <alignment horizontal="right" vertical="center" indent="1"/>
      <protection/>
    </xf>
    <xf numFmtId="179" fontId="0" fillId="0" borderId="10" xfId="53" applyNumberFormat="1" applyFont="1" applyFill="1" applyBorder="1" applyAlignment="1" applyProtection="1">
      <alignment horizontal="left"/>
      <protection/>
    </xf>
    <xf numFmtId="179" fontId="7" fillId="0" borderId="14" xfId="48" applyNumberFormat="1" applyFont="1" applyFill="1" applyBorder="1" applyAlignment="1" applyProtection="1">
      <alignment horizontal="right" vertical="center" indent="1"/>
      <protection/>
    </xf>
    <xf numFmtId="49" fontId="0" fillId="0" borderId="23" xfId="0" applyFont="1" applyBorder="1" applyAlignment="1">
      <alignment horizontal="center" vertical="center" wrapText="1"/>
    </xf>
    <xf numFmtId="0" fontId="0" fillId="0" borderId="23" xfId="53" applyNumberFormat="1" applyFont="1" applyFill="1" applyBorder="1" applyAlignment="1" applyProtection="1">
      <alignment horizontal="left" vertical="center" wrapText="1"/>
      <protection/>
    </xf>
    <xf numFmtId="49" fontId="0" fillId="0" borderId="23" xfId="53" applyNumberFormat="1" applyFont="1" applyFill="1" applyBorder="1" applyAlignment="1" applyProtection="1">
      <alignment horizontal="center" vertical="center" wrapText="1"/>
      <protection/>
    </xf>
    <xf numFmtId="49" fontId="0" fillId="0" borderId="23" xfId="53" applyNumberFormat="1" applyFont="1" applyFill="1" applyBorder="1" applyAlignment="1" applyProtection="1">
      <alignment horizontal="left" vertical="center" wrapText="1"/>
      <protection/>
    </xf>
    <xf numFmtId="49" fontId="0" fillId="0" borderId="23" xfId="53" applyNumberFormat="1" applyFont="1" applyFill="1" applyBorder="1" applyAlignment="1" applyProtection="1">
      <alignment horizontal="left" vertical="center" wrapText="1" indent="2"/>
      <protection/>
    </xf>
    <xf numFmtId="0" fontId="0" fillId="0" borderId="23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left" vertical="center" wrapText="1" indent="2"/>
      <protection/>
    </xf>
    <xf numFmtId="49" fontId="0" fillId="0" borderId="23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53" applyNumberFormat="1" applyFont="1" applyFill="1" applyBorder="1" applyAlignment="1" applyProtection="1">
      <alignment horizontal="left" vertical="center" wrapText="1" indent="2"/>
      <protection/>
    </xf>
    <xf numFmtId="49" fontId="32" fillId="0" borderId="23" xfId="0" applyFont="1" applyBorder="1" applyAlignment="1">
      <alignment horizontal="center" vertical="center" wrapText="1"/>
    </xf>
    <xf numFmtId="49" fontId="32" fillId="0" borderId="23" xfId="0" applyFont="1" applyBorder="1" applyAlignment="1">
      <alignment horizontal="center" vertical="top" wrapText="1"/>
    </xf>
    <xf numFmtId="179" fontId="0" fillId="7" borderId="23" xfId="53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horizontal="left" vertical="top" wrapText="1" inden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 indent="2"/>
    </xf>
    <xf numFmtId="49" fontId="0" fillId="0" borderId="23" xfId="0" applyBorder="1" applyAlignment="1">
      <alignment horizontal="center" vertical="center" wrapText="1"/>
    </xf>
    <xf numFmtId="0" fontId="0" fillId="0" borderId="23" xfId="0" applyNumberForma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center" wrapText="1"/>
    </xf>
    <xf numFmtId="49" fontId="22" fillId="0" borderId="0" xfId="0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center" wrapText="1"/>
      <protection/>
    </xf>
    <xf numFmtId="16" fontId="0" fillId="0" borderId="0" xfId="59" applyNumberFormat="1" applyFont="1" applyFill="1" applyBorder="1" applyAlignment="1" applyProtection="1">
      <alignment vertical="center" wrapText="1"/>
      <protection/>
    </xf>
    <xf numFmtId="49" fontId="0" fillId="0" borderId="0" xfId="59" applyNumberFormat="1" applyFont="1" applyFill="1" applyBorder="1" applyAlignment="1" applyProtection="1">
      <alignment vertical="center" wrapText="1"/>
      <protection/>
    </xf>
    <xf numFmtId="49" fontId="0" fillId="0" borderId="23" xfId="64" applyNumberFormat="1" applyFont="1" applyFill="1" applyBorder="1" applyAlignment="1" applyProtection="1">
      <alignment vertical="center" wrapText="1"/>
      <protection/>
    </xf>
    <xf numFmtId="0" fontId="0" fillId="0" borderId="23" xfId="64" applyFont="1" applyFill="1" applyBorder="1" applyAlignment="1" applyProtection="1">
      <alignment vertical="center" wrapText="1"/>
      <protection/>
    </xf>
    <xf numFmtId="49" fontId="0" fillId="0" borderId="26" xfId="64" applyNumberFormat="1" applyFont="1" applyFill="1" applyBorder="1" applyAlignment="1" applyProtection="1">
      <alignment vertical="center" wrapText="1"/>
      <protection/>
    </xf>
    <xf numFmtId="49" fontId="7" fillId="0" borderId="23" xfId="51" applyNumberFormat="1" applyFont="1" applyFill="1" applyBorder="1" applyAlignment="1" applyProtection="1">
      <alignment vertical="center" wrapText="1"/>
      <protection/>
    </xf>
    <xf numFmtId="49" fontId="0" fillId="0" borderId="23" xfId="51" applyNumberFormat="1" applyFont="1" applyFill="1" applyBorder="1" applyAlignment="1" applyProtection="1">
      <alignment vertical="center" wrapText="1"/>
      <protection/>
    </xf>
    <xf numFmtId="49" fontId="0" fillId="0" borderId="8" xfId="53" applyNumberFormat="1" applyFont="1" applyFill="1" applyBorder="1" applyAlignment="1" applyProtection="1">
      <alignment horizontal="center" vertical="center" wrapText="1"/>
      <protection/>
    </xf>
    <xf numFmtId="178" fontId="0" fillId="5" borderId="8" xfId="48" applyNumberFormat="1" applyFont="1" applyFill="1" applyBorder="1" applyAlignment="1" applyProtection="1">
      <alignment horizontal="center" vertical="center"/>
      <protection locked="0"/>
    </xf>
    <xf numFmtId="49" fontId="0" fillId="10" borderId="8" xfId="73" applyNumberFormat="1" applyFont="1" applyFill="1" applyBorder="1" applyAlignment="1" applyProtection="1">
      <alignment horizontal="center" vertical="center" wrapText="1"/>
      <protection locked="0"/>
    </xf>
    <xf numFmtId="49" fontId="14" fillId="10" borderId="8" xfId="43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68" applyFont="1" applyFill="1" applyAlignment="1" applyProtection="1">
      <alignment vertical="center" wrapText="1"/>
      <protection locked="0"/>
    </xf>
    <xf numFmtId="49" fontId="0" fillId="10" borderId="8" xfId="53" applyNumberFormat="1" applyFont="1" applyFill="1" applyBorder="1" applyAlignment="1" applyProtection="1">
      <alignment horizontal="left" vertical="center" wrapText="1"/>
      <protection locked="0"/>
    </xf>
    <xf numFmtId="178" fontId="0" fillId="11" borderId="8" xfId="53" applyNumberFormat="1" applyFont="1" applyFill="1" applyBorder="1" applyAlignment="1" applyProtection="1">
      <alignment horizontal="center" vertical="center" wrapText="1"/>
      <protection/>
    </xf>
    <xf numFmtId="179" fontId="0" fillId="10" borderId="8" xfId="53" applyNumberFormat="1" applyFont="1" applyFill="1" applyBorder="1" applyAlignment="1" applyProtection="1">
      <alignment horizontal="center" vertical="center"/>
      <protection locked="0"/>
    </xf>
    <xf numFmtId="178" fontId="0" fillId="10" borderId="8" xfId="53" applyNumberFormat="1" applyFont="1" applyFill="1" applyBorder="1" applyAlignment="1" applyProtection="1">
      <alignment horizontal="center" vertical="center"/>
      <protection locked="0"/>
    </xf>
    <xf numFmtId="178" fontId="0" fillId="10" borderId="8" xfId="53" applyNumberFormat="1" applyFont="1" applyFill="1" applyBorder="1" applyAlignment="1" applyProtection="1">
      <alignment horizontal="center" vertical="center"/>
      <protection locked="0"/>
    </xf>
    <xf numFmtId="0" fontId="0" fillId="0" borderId="9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9" xfId="53" applyFont="1" applyFill="1" applyBorder="1" applyAlignment="1" applyProtection="1">
      <alignment horizontal="left" vertical="center" wrapText="1" indent="1"/>
      <protection/>
    </xf>
    <xf numFmtId="0" fontId="0" fillId="0" borderId="9" xfId="53" applyFont="1" applyFill="1" applyBorder="1" applyAlignment="1" applyProtection="1">
      <alignment horizontal="right" vertical="center" wrapText="1" indent="1"/>
      <protection/>
    </xf>
    <xf numFmtId="0" fontId="0" fillId="0" borderId="9" xfId="53" applyNumberFormat="1" applyFont="1" applyFill="1" applyBorder="1" applyAlignment="1" applyProtection="1">
      <alignment horizontal="right" vertical="center" wrapText="1" indent="1"/>
      <protection/>
    </xf>
    <xf numFmtId="49" fontId="0" fillId="0" borderId="8" xfId="53" applyNumberFormat="1" applyFont="1" applyFill="1" applyBorder="1" applyAlignment="1" applyProtection="1">
      <alignment horizontal="left" vertical="center" wrapText="1"/>
      <protection/>
    </xf>
    <xf numFmtId="49" fontId="7" fillId="0" borderId="23" xfId="53" applyNumberFormat="1" applyFont="1" applyFill="1" applyBorder="1" applyAlignment="1" applyProtection="1">
      <alignment horizontal="center" vertical="center" wrapText="1"/>
      <protection/>
    </xf>
    <xf numFmtId="0" fontId="7" fillId="0" borderId="23" xfId="53" applyFont="1" applyFill="1" applyBorder="1" applyAlignment="1" applyProtection="1">
      <alignment horizontal="center" vertical="center" wrapText="1"/>
      <protection/>
    </xf>
    <xf numFmtId="0" fontId="18" fillId="0" borderId="23" xfId="53" applyNumberFormat="1" applyFont="1" applyFill="1" applyBorder="1" applyAlignment="1" applyProtection="1">
      <alignment horizontal="center" vertical="center"/>
      <protection/>
    </xf>
    <xf numFmtId="0" fontId="0" fillId="0" borderId="23" xfId="70" applyFont="1" applyBorder="1" applyAlignment="1">
      <alignment horizontal="center" vertical="center" wrapText="1"/>
      <protection/>
    </xf>
    <xf numFmtId="178" fontId="0" fillId="9" borderId="23" xfId="48" applyNumberFormat="1" applyFont="1" applyFill="1" applyBorder="1" applyAlignment="1" applyProtection="1">
      <alignment horizontal="center" vertical="center"/>
      <protection locked="0"/>
    </xf>
    <xf numFmtId="178" fontId="0" fillId="7" borderId="23" xfId="70" applyNumberFormat="1" applyFont="1" applyFill="1" applyBorder="1" applyAlignment="1" applyProtection="1">
      <alignment horizontal="center" vertical="center" wrapText="1"/>
      <protection/>
    </xf>
    <xf numFmtId="49" fontId="0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4" fontId="0" fillId="0" borderId="0" xfId="48" applyFont="1" applyFill="1" applyBorder="1" applyAlignment="1" applyProtection="1">
      <alignment horizontal="center" vertical="center"/>
      <protection/>
    </xf>
    <xf numFmtId="179" fontId="0" fillId="7" borderId="23" xfId="70" applyNumberFormat="1" applyFont="1" applyFill="1" applyBorder="1" applyAlignment="1" applyProtection="1">
      <alignment horizontal="center" vertical="center" wrapText="1"/>
      <protection/>
    </xf>
    <xf numFmtId="49" fontId="0" fillId="0" borderId="0" xfId="53" applyNumberFormat="1" applyFont="1" applyFill="1" applyBorder="1" applyAlignment="1" applyProtection="1">
      <alignment vertical="center" wrapText="1"/>
      <protection/>
    </xf>
    <xf numFmtId="179" fontId="7" fillId="7" borderId="23" xfId="70" applyNumberFormat="1" applyFont="1" applyFill="1" applyBorder="1" applyAlignment="1" applyProtection="1">
      <alignment horizontal="center" vertical="center" wrapText="1"/>
      <protection/>
    </xf>
    <xf numFmtId="49" fontId="0" fillId="0" borderId="0" xfId="67" applyNumberFormat="1" applyFont="1" applyFill="1" applyBorder="1" applyAlignment="1" applyProtection="1">
      <alignment vertical="center" wrapText="1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0" fontId="7" fillId="8" borderId="0" xfId="56" applyFont="1" applyFill="1" applyBorder="1" applyAlignment="1" applyProtection="1">
      <alignment vertical="top"/>
      <protection/>
    </xf>
    <xf numFmtId="0" fontId="7" fillId="0" borderId="4" xfId="56" applyFont="1" applyBorder="1" applyAlignment="1" applyProtection="1">
      <alignment horizontal="right" vertical="top" wrapText="1"/>
      <protection/>
    </xf>
    <xf numFmtId="179" fontId="0" fillId="7" borderId="23" xfId="0" applyNumberFormat="1" applyFill="1" applyBorder="1" applyAlignment="1" applyProtection="1">
      <alignment horizontal="center" vertical="center" wrapText="1"/>
      <protection/>
    </xf>
    <xf numFmtId="0" fontId="0" fillId="0" borderId="8" xfId="68" applyFont="1" applyBorder="1" applyAlignment="1" applyProtection="1">
      <alignment horizontal="center" wrapText="1"/>
      <protection/>
    </xf>
    <xf numFmtId="49" fontId="0" fillId="10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8" xfId="69" applyNumberFormat="1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8" xfId="69" applyNumberFormat="1" applyFont="1" applyFill="1" applyBorder="1" applyAlignment="1" applyProtection="1">
      <alignment horizontal="center" vertical="center" wrapText="1"/>
      <protection locked="0"/>
    </xf>
    <xf numFmtId="14" fontId="33" fillId="8" borderId="9" xfId="75" applyNumberFormat="1" applyFont="1" applyFill="1" applyBorder="1" applyAlignment="1" applyProtection="1">
      <alignment horizontal="center" wrapText="1"/>
      <protection/>
    </xf>
    <xf numFmtId="0" fontId="0" fillId="0" borderId="0" xfId="68" applyFon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horizontal="center" vertical="center" wrapText="1"/>
      <protection/>
    </xf>
    <xf numFmtId="0" fontId="0" fillId="0" borderId="27" xfId="69" applyFont="1" applyFill="1" applyBorder="1" applyAlignment="1" applyProtection="1">
      <alignment horizontal="center" vertical="center" wrapText="1"/>
      <protection/>
    </xf>
    <xf numFmtId="49" fontId="33" fillId="8" borderId="27" xfId="75" applyNumberFormat="1" applyFont="1" applyFill="1" applyBorder="1" applyAlignment="1" applyProtection="1">
      <alignment horizontal="center" wrapText="1"/>
      <protection/>
    </xf>
    <xf numFmtId="0" fontId="0" fillId="10" borderId="14" xfId="69" applyFont="1" applyFill="1" applyBorder="1" applyAlignment="1" applyProtection="1">
      <alignment horizontal="center" vertical="center" wrapText="1"/>
      <protection locked="0"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9" applyFont="1" applyFill="1" applyBorder="1" applyAlignment="1" applyProtection="1">
      <alignment horizontal="right" vertical="center" wrapText="1" indent="1"/>
      <protection/>
    </xf>
    <xf numFmtId="49" fontId="0" fillId="0" borderId="0" xfId="0" applyFont="1" applyBorder="1" applyAlignment="1" applyProtection="1">
      <alignment horizontal="right" vertical="center" wrapText="1" indent="1"/>
      <protection/>
    </xf>
    <xf numFmtId="0" fontId="0" fillId="7" borderId="23" xfId="68" applyFont="1" applyFill="1" applyBorder="1" applyAlignment="1" applyProtection="1">
      <alignment horizontal="center" vertical="center" wrapText="1"/>
      <protection/>
    </xf>
    <xf numFmtId="0" fontId="0" fillId="10" borderId="8" xfId="69" applyFont="1" applyFill="1" applyBorder="1" applyAlignment="1" applyProtection="1">
      <alignment horizontal="center" vertical="center" wrapText="1"/>
      <protection locked="0"/>
    </xf>
    <xf numFmtId="49" fontId="0" fillId="8" borderId="0" xfId="73" applyNumberFormat="1" applyFont="1" applyFill="1" applyBorder="1" applyAlignment="1" applyProtection="1">
      <alignment horizontal="right" vertical="center" wrapText="1" indent="1"/>
      <protection/>
    </xf>
    <xf numFmtId="0" fontId="0" fillId="10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69" applyFont="1" applyFill="1" applyBorder="1" applyAlignment="1" applyProtection="1">
      <alignment horizontal="right" vertical="center" wrapText="1" indent="1"/>
      <protection/>
    </xf>
    <xf numFmtId="0" fontId="0" fillId="10" borderId="23" xfId="0" applyNumberFormat="1" applyFill="1" applyBorder="1" applyAlignment="1" applyProtection="1">
      <alignment horizontal="center" vertical="center" wrapText="1"/>
      <protection locked="0"/>
    </xf>
    <xf numFmtId="0" fontId="0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8" applyNumberFormat="1" applyFont="1" applyFill="1" applyBorder="1" applyAlignment="1" applyProtection="1">
      <alignment horizontal="center" vertical="center" wrapText="1"/>
      <protection/>
    </xf>
    <xf numFmtId="49" fontId="0" fillId="10" borderId="8" xfId="0" applyFont="1" applyFill="1" applyBorder="1" applyAlignment="1" applyProtection="1">
      <alignment horizontal="center" vertical="center" wrapText="1"/>
      <protection locked="0"/>
    </xf>
    <xf numFmtId="49" fontId="0" fillId="10" borderId="8" xfId="0" applyNumberFormat="1" applyFill="1" applyBorder="1" applyAlignment="1" applyProtection="1">
      <alignment horizontal="center" vertical="center" wrapText="1"/>
      <protection locked="0"/>
    </xf>
    <xf numFmtId="0" fontId="20" fillId="8" borderId="6" xfId="56" applyFont="1" applyFill="1" applyBorder="1" applyAlignment="1" applyProtection="1">
      <alignment horizontal="center" vertical="top" wrapText="1"/>
      <protection/>
    </xf>
    <xf numFmtId="49" fontId="0" fillId="0" borderId="8" xfId="53" applyNumberFormat="1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7" fillId="0" borderId="23" xfId="53" applyNumberFormat="1" applyFont="1" applyFill="1" applyBorder="1" applyAlignment="1" applyProtection="1">
      <alignment horizontal="center" vertical="center" wrapText="1"/>
      <protection/>
    </xf>
    <xf numFmtId="0" fontId="18" fillId="0" borderId="23" xfId="53" applyNumberFormat="1" applyFont="1" applyFill="1" applyBorder="1" applyAlignment="1" applyProtection="1">
      <alignment horizontal="center" vertical="center"/>
      <protection/>
    </xf>
    <xf numFmtId="49" fontId="0" fillId="0" borderId="28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53" applyNumberFormat="1" applyFont="1" applyFill="1" applyBorder="1" applyAlignment="1" applyProtection="1">
      <alignment horizontal="left" vertical="center" wrapText="1" indent="1"/>
      <protection/>
    </xf>
    <xf numFmtId="49" fontId="7" fillId="12" borderId="8" xfId="53" applyNumberFormat="1" applyFont="1" applyFill="1" applyBorder="1" applyAlignment="1" applyProtection="1">
      <alignment horizontal="center" vertical="center" wrapText="1"/>
      <protection/>
    </xf>
    <xf numFmtId="0" fontId="0" fillId="0" borderId="9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9" xfId="53" applyFont="1" applyFill="1" applyBorder="1" applyAlignment="1" applyProtection="1">
      <alignment horizontal="left" vertical="center" wrapText="1" indent="1"/>
      <protection/>
    </xf>
    <xf numFmtId="0" fontId="7" fillId="0" borderId="23" xfId="53" applyFont="1" applyFill="1" applyBorder="1" applyAlignment="1" applyProtection="1">
      <alignment horizontal="center" vertical="center" wrapText="1"/>
      <protection/>
    </xf>
    <xf numFmtId="0" fontId="0" fillId="0" borderId="8" xfId="53" applyFont="1" applyBorder="1" applyAlignment="1" applyProtection="1">
      <alignment horizontal="center" vertical="center" wrapText="1"/>
      <protection/>
    </xf>
    <xf numFmtId="49" fontId="0" fillId="0" borderId="0" xfId="53" applyNumberFormat="1" applyFont="1" applyFill="1" applyBorder="1" applyAlignment="1" applyProtection="1">
      <alignment horizontal="left" vertical="center" wrapText="1" indent="1"/>
      <protection/>
    </xf>
    <xf numFmtId="0" fontId="4" fillId="0" borderId="0" xfId="53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horizontal="left" vertical="center" wrapText="1" indent="1"/>
      <protection/>
    </xf>
    <xf numFmtId="4" fontId="0" fillId="0" borderId="9" xfId="48" applyFont="1" applyFill="1" applyBorder="1" applyAlignment="1" applyProtection="1">
      <alignment horizontal="left" vertical="center" wrapText="1" indent="1"/>
      <protection/>
    </xf>
    <xf numFmtId="49" fontId="0" fillId="0" borderId="9" xfId="0" applyFont="1" applyFill="1" applyBorder="1" applyAlignment="1" applyProtection="1">
      <alignment horizontal="left" vertical="center" wrapText="1" indent="1"/>
      <protection/>
    </xf>
    <xf numFmtId="0" fontId="7" fillId="13" borderId="8" xfId="53" applyNumberFormat="1" applyFont="1" applyFill="1" applyBorder="1" applyAlignment="1" applyProtection="1">
      <alignment horizontal="center" vertical="center" wrapText="1"/>
      <protection/>
    </xf>
    <xf numFmtId="0" fontId="7" fillId="13" borderId="23" xfId="53" applyNumberFormat="1" applyFont="1" applyFill="1" applyBorder="1" applyAlignment="1" applyProtection="1">
      <alignment horizontal="center" vertical="center" wrapText="1"/>
      <protection/>
    </xf>
    <xf numFmtId="49" fontId="7" fillId="0" borderId="24" xfId="53" applyNumberFormat="1" applyFont="1" applyFill="1" applyBorder="1" applyAlignment="1" applyProtection="1">
      <alignment horizontal="center" vertical="center" wrapText="1"/>
      <protection/>
    </xf>
    <xf numFmtId="0" fontId="7" fillId="0" borderId="29" xfId="53" applyNumberFormat="1" applyFont="1" applyFill="1" applyBorder="1" applyAlignment="1" applyProtection="1">
      <alignment horizontal="center" vertical="center" wrapText="1"/>
      <protection/>
    </xf>
    <xf numFmtId="49" fontId="7" fillId="0" borderId="30" xfId="53" applyNumberFormat="1" applyFont="1" applyFill="1" applyBorder="1" applyAlignment="1" applyProtection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horizontal="center" vertical="center" wrapText="1"/>
      <protection/>
    </xf>
    <xf numFmtId="0" fontId="18" fillId="0" borderId="30" xfId="53" applyNumberFormat="1" applyFont="1" applyFill="1" applyBorder="1" applyAlignment="1" applyProtection="1">
      <alignment horizontal="center" vertical="center"/>
      <protection/>
    </xf>
    <xf numFmtId="0" fontId="18" fillId="0" borderId="31" xfId="53" applyNumberFormat="1" applyFont="1" applyFill="1" applyBorder="1" applyAlignment="1" applyProtection="1">
      <alignment horizontal="center" vertical="center"/>
      <protection/>
    </xf>
    <xf numFmtId="0" fontId="0" fillId="0" borderId="30" xfId="70" applyFont="1" applyBorder="1" applyAlignment="1">
      <alignment vertical="center" wrapText="1"/>
      <protection/>
    </xf>
    <xf numFmtId="0" fontId="0" fillId="0" borderId="31" xfId="70" applyFont="1" applyBorder="1" applyAlignment="1">
      <alignment vertical="center" wrapText="1"/>
      <protection/>
    </xf>
    <xf numFmtId="0" fontId="7" fillId="0" borderId="30" xfId="70" applyFont="1" applyBorder="1" applyAlignment="1">
      <alignment horizontal="right" vertical="center" wrapText="1"/>
      <protection/>
    </xf>
    <xf numFmtId="0" fontId="7" fillId="0" borderId="29" xfId="70" applyFont="1" applyBorder="1" applyAlignment="1">
      <alignment horizontal="right" vertical="center" wrapText="1"/>
      <protection/>
    </xf>
    <xf numFmtId="0" fontId="7" fillId="0" borderId="31" xfId="70" applyFont="1" applyBorder="1" applyAlignment="1">
      <alignment horizontal="right" vertical="center" wrapText="1"/>
      <protection/>
    </xf>
    <xf numFmtId="0" fontId="7" fillId="8" borderId="4" xfId="56" applyFont="1" applyFill="1" applyBorder="1" applyAlignment="1" applyProtection="1">
      <alignment horizontal="left" vertical="top" wrapText="1"/>
      <protection/>
    </xf>
    <xf numFmtId="49" fontId="7" fillId="0" borderId="29" xfId="53" applyNumberFormat="1" applyFont="1" applyFill="1" applyBorder="1" applyAlignment="1" applyProtection="1">
      <alignment horizontal="center" vertical="center" wrapText="1"/>
      <protection/>
    </xf>
    <xf numFmtId="179" fontId="7" fillId="0" borderId="20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179" fontId="7" fillId="0" borderId="24" xfId="0" applyNumberFormat="1" applyFont="1" applyFill="1" applyBorder="1" applyAlignment="1" applyProtection="1">
      <alignment horizontal="center" vertical="center" wrapText="1"/>
      <protection/>
    </xf>
    <xf numFmtId="179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28" xfId="0" applyFont="1" applyFill="1" applyBorder="1" applyAlignment="1" applyProtection="1">
      <alignment horizontal="left" vertical="center" indent="1"/>
      <protection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20" xfId="0" applyFont="1" applyBorder="1" applyAlignment="1">
      <alignment horizontal="center" vertical="center" wrapText="1"/>
    </xf>
    <xf numFmtId="49" fontId="7" fillId="0" borderId="14" xfId="0" applyFont="1" applyBorder="1" applyAlignment="1">
      <alignment horizontal="center" vertical="center" wrapText="1"/>
    </xf>
    <xf numFmtId="179" fontId="0" fillId="0" borderId="34" xfId="0" applyNumberFormat="1" applyFont="1" applyFill="1" applyBorder="1" applyAlignment="1" applyProtection="1">
      <alignment horizontal="center" vertical="center"/>
      <protection/>
    </xf>
    <xf numFmtId="179" fontId="0" fillId="0" borderId="35" xfId="0" applyNumberFormat="1" applyFont="1" applyFill="1" applyBorder="1" applyAlignment="1" applyProtection="1">
      <alignment horizontal="center" vertical="center"/>
      <protection/>
    </xf>
    <xf numFmtId="179" fontId="0" fillId="0" borderId="36" xfId="0" applyNumberFormat="1" applyFont="1" applyFill="1" applyBorder="1" applyAlignment="1" applyProtection="1">
      <alignment horizontal="center" vertical="center"/>
      <protection/>
    </xf>
    <xf numFmtId="179" fontId="0" fillId="0" borderId="37" xfId="0" applyNumberFormat="1" applyFont="1" applyFill="1" applyBorder="1" applyAlignment="1" applyProtection="1">
      <alignment horizontal="center" vertical="center"/>
      <protection/>
    </xf>
    <xf numFmtId="179" fontId="0" fillId="0" borderId="38" xfId="0" applyNumberFormat="1" applyFont="1" applyFill="1" applyBorder="1" applyAlignment="1" applyProtection="1">
      <alignment horizontal="center" vertical="center"/>
      <protection/>
    </xf>
    <xf numFmtId="179" fontId="0" fillId="0" borderId="39" xfId="0" applyNumberFormat="1" applyFont="1" applyFill="1" applyBorder="1" applyAlignment="1" applyProtection="1">
      <alignment horizontal="center" vertical="center"/>
      <protection/>
    </xf>
    <xf numFmtId="179" fontId="7" fillId="0" borderId="24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49" fontId="7" fillId="0" borderId="23" xfId="0" applyFont="1" applyBorder="1" applyAlignment="1">
      <alignment horizontal="center" vertical="center" wrapText="1"/>
    </xf>
    <xf numFmtId="179" fontId="7" fillId="0" borderId="8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center" vertical="top"/>
    </xf>
    <xf numFmtId="0" fontId="20" fillId="8" borderId="0" xfId="56" applyFont="1" applyFill="1" applyBorder="1" applyAlignment="1" applyProtection="1">
      <alignment horizontal="center" vertical="top" wrapText="1"/>
      <protection/>
    </xf>
    <xf numFmtId="49" fontId="7" fillId="0" borderId="22" xfId="0" applyFont="1" applyFill="1" applyBorder="1" applyAlignment="1">
      <alignment horizontal="center" vertical="center" wrapText="1"/>
    </xf>
    <xf numFmtId="49" fontId="7" fillId="0" borderId="22" xfId="0" applyFont="1" applyBorder="1" applyAlignment="1">
      <alignment horizontal="center" vertical="center" wrapText="1"/>
    </xf>
    <xf numFmtId="49" fontId="0" fillId="0" borderId="40" xfId="0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0" xfId="0" applyFont="1" applyBorder="1" applyAlignment="1">
      <alignment horizontal="center" vertical="top" wrapText="1"/>
    </xf>
    <xf numFmtId="49" fontId="0" fillId="0" borderId="0" xfId="0" applyFont="1" applyFill="1" applyBorder="1" applyAlignment="1" applyProtection="1">
      <alignment horizontal="center" vertical="top"/>
      <protection/>
    </xf>
    <xf numFmtId="49" fontId="7" fillId="0" borderId="41" xfId="0" applyFont="1" applyFill="1" applyBorder="1" applyAlignment="1" applyProtection="1">
      <alignment horizontal="left" vertical="top" wrapText="1"/>
      <protection/>
    </xf>
    <xf numFmtId="49" fontId="7" fillId="0" borderId="42" xfId="0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49" fontId="0" fillId="0" borderId="6" xfId="0" applyFont="1" applyBorder="1" applyAlignment="1">
      <alignment horizontal="center" vertical="top"/>
    </xf>
    <xf numFmtId="49" fontId="7" fillId="0" borderId="23" xfId="0" applyFont="1" applyBorder="1" applyAlignment="1">
      <alignment horizontal="center" vertical="top" wrapText="1"/>
    </xf>
    <xf numFmtId="49" fontId="0" fillId="0" borderId="0" xfId="0" applyFont="1" applyBorder="1" applyAlignment="1">
      <alignment vertical="top" wrapText="1"/>
    </xf>
    <xf numFmtId="49" fontId="7" fillId="0" borderId="7" xfId="0" applyFont="1" applyBorder="1" applyAlignment="1">
      <alignment horizontal="center" vertical="top" wrapText="1"/>
    </xf>
    <xf numFmtId="49" fontId="7" fillId="0" borderId="7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Border="1" applyAlignment="1" applyProtection="1">
      <alignment horizontal="justify" wrapText="1"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0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7" fillId="0" borderId="8" xfId="70" applyFont="1" applyBorder="1" applyAlignment="1">
      <alignment horizontal="right" vertical="center" wrapText="1"/>
      <protection/>
    </xf>
    <xf numFmtId="49" fontId="7" fillId="0" borderId="28" xfId="53" applyNumberFormat="1" applyFont="1" applyFill="1" applyBorder="1" applyAlignment="1" applyProtection="1">
      <alignment horizontal="center" vertical="center" wrapText="1"/>
      <protection/>
    </xf>
    <xf numFmtId="0" fontId="7" fillId="0" borderId="9" xfId="53" applyNumberFormat="1" applyFont="1" applyFill="1" applyBorder="1" applyAlignment="1" applyProtection="1">
      <alignment horizontal="center" vertical="center" wrapText="1"/>
      <protection/>
    </xf>
    <xf numFmtId="4" fontId="7" fillId="0" borderId="9" xfId="48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 2" xfId="44"/>
    <cellStyle name="Гиперссылка 4" xfId="45"/>
    <cellStyle name="Currency" xfId="46"/>
    <cellStyle name="Currency [0]" xfId="47"/>
    <cellStyle name="Значение" xfId="48"/>
    <cellStyle name="Обычный 10" xfId="49"/>
    <cellStyle name="Обычный 10 2" xfId="50"/>
    <cellStyle name="Обычный 11" xfId="51"/>
    <cellStyle name="Обычный 11 3" xfId="52"/>
    <cellStyle name="Обычный 14" xfId="53"/>
    <cellStyle name="Обычный 2" xfId="54"/>
    <cellStyle name="Обычный 2 6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 9 2" xfId="66"/>
    <cellStyle name="Обычный_2.4 индикаторы качества" xfId="67"/>
    <cellStyle name="Обычный_PRIL1.ELECTR" xfId="68"/>
    <cellStyle name="Обычный_ЖКУ_проект3" xfId="69"/>
    <cellStyle name="Обычный_ПоказТехприсоед (Птпр)" xfId="70"/>
    <cellStyle name="Обычный_ф.2.1 ИндИнф (Ин)" xfId="71"/>
    <cellStyle name="Обычный_ф.2.1 ИндИнф (Ин) 2" xfId="72"/>
    <cellStyle name="Обычный_форма 1 водопровод для орг" xfId="73"/>
    <cellStyle name="Обычный_форма 1 водопровод для орг 2" xfId="74"/>
    <cellStyle name="Обычный_форма 1 водопровод для орг_CALC.KV.4.78(v1.0)" xfId="75"/>
    <cellStyle name="Followed Hyperlink" xfId="76"/>
    <cellStyle name="Percent" xfId="77"/>
    <cellStyle name="Comma" xfId="78"/>
    <cellStyle name="Comma [0]" xfId="79"/>
    <cellStyle name="Формула 3" xfId="80"/>
    <cellStyle name="Формула_GRES.2007.5" xfId="81"/>
  </cellStyles>
  <dxfs count="14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C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1059;&#1087;&#1088;&#1072;&#1074;&#1083;&#1077;&#1085;&#1080;&#1077;\&#1054;&#1050;&#1069;&#1056;&#1069;&#1057;\&#1060;&#1077;&#1076;&#1086;&#1088;&#1091;&#1082;\&#1055;&#1086;&#1082;&#1072;&#1079;&#1072;&#1090;&#1077;&#1083;&#1080;%20&#1082;&#1072;&#1095;&#1077;&#1089;&#1090;&#1074;&#1072;\2015-2019%20&#1087;&#1083;&#1072;&#1085;\&#1055;&#1083;&#1072;&#1085;&#1086;&#1074;&#1099;&#1077;%20&#1087;&#1086;&#1082;&#1072;&#1079;&#1072;&#1090;&#1077;&#1083;&#1080;%202015-2019%20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"/>
      <sheetName val="Форма 1.2"/>
      <sheetName val="Форма 1.3"/>
      <sheetName val="Форма 2,1"/>
      <sheetName val="Форма 2,2"/>
      <sheetName val="Форма 2,3"/>
      <sheetName val="Форма 2.4"/>
      <sheetName val="Формы 3"/>
      <sheetName val="Форма 4.1"/>
      <sheetName val="Форма 4.2"/>
    </sheetNames>
    <sheetDataSet>
      <sheetData sheetId="6">
        <row r="48">
          <cell r="I48" t="str">
            <v>А.А.Муравин</v>
          </cell>
        </row>
        <row r="50">
          <cell r="I50" t="str">
            <v>Е.Н. Смышляева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PageLayoutView="0" workbookViewId="0" topLeftCell="A1">
      <selection activeCell="B24" sqref="B24"/>
    </sheetView>
  </sheetViews>
  <sheetFormatPr defaultColWidth="9.140625" defaultRowHeight="11.25"/>
  <cols>
    <col min="1" max="1" width="5.7109375" style="31" customWidth="1"/>
    <col min="2" max="2" width="45.7109375" style="31" customWidth="1"/>
    <col min="3" max="3" width="25.7109375" style="31" customWidth="1"/>
    <col min="4" max="4" width="25.7109375" style="44" customWidth="1"/>
    <col min="5" max="5" width="5.7109375" style="44" customWidth="1"/>
    <col min="6" max="6" width="5.7109375" style="38" customWidth="1"/>
    <col min="7" max="16384" width="9.140625" style="31" customWidth="1"/>
  </cols>
  <sheetData>
    <row r="1" spans="4:6" s="29" customFormat="1" ht="14.25" customHeight="1">
      <c r="D1" s="30"/>
      <c r="E1" s="30"/>
      <c r="F1" s="41"/>
    </row>
    <row r="2" spans="1:6" ht="22.5" customHeight="1">
      <c r="A2" s="103"/>
      <c r="B2" s="562" t="s">
        <v>203</v>
      </c>
      <c r="C2" s="562"/>
      <c r="D2" s="562"/>
      <c r="E2" s="103"/>
      <c r="F2" s="42"/>
    </row>
    <row r="3" spans="1:7" ht="22.5" customHeight="1">
      <c r="A3" s="33"/>
      <c r="B3" s="294" t="s">
        <v>0</v>
      </c>
      <c r="C3" s="564" t="s">
        <v>336</v>
      </c>
      <c r="D3" s="564"/>
      <c r="E3" s="35"/>
      <c r="F3" s="32"/>
      <c r="G3" s="32"/>
    </row>
    <row r="4" spans="1:9" s="2" customFormat="1" ht="15" customHeight="1">
      <c r="A4" s="36"/>
      <c r="B4" s="567" t="s">
        <v>152</v>
      </c>
      <c r="C4" s="553" t="s">
        <v>97</v>
      </c>
      <c r="D4" s="553"/>
      <c r="E4" s="36"/>
      <c r="F4" s="36"/>
      <c r="I4" s="1"/>
    </row>
    <row r="5" spans="1:13" s="2" customFormat="1" ht="19.5" customHeight="1">
      <c r="A5" s="36"/>
      <c r="B5" s="568"/>
      <c r="C5" s="565" t="s">
        <v>153</v>
      </c>
      <c r="D5" s="566"/>
      <c r="E5" s="36"/>
      <c r="F5" s="36"/>
      <c r="I5" s="573"/>
      <c r="M5" s="143"/>
    </row>
    <row r="6" spans="1:9" s="2" customFormat="1" ht="21.75" customHeight="1">
      <c r="A6" s="36"/>
      <c r="B6" s="315" t="s">
        <v>104</v>
      </c>
      <c r="C6" s="574">
        <v>2014</v>
      </c>
      <c r="D6" s="575"/>
      <c r="E6" s="36"/>
      <c r="F6" s="36"/>
      <c r="I6" s="568"/>
    </row>
    <row r="7" spans="1:6" s="2" customFormat="1" ht="4.5" customHeight="1">
      <c r="A7" s="36"/>
      <c r="B7" s="432"/>
      <c r="C7" s="576"/>
      <c r="D7" s="576"/>
      <c r="E7" s="36"/>
      <c r="F7" s="36"/>
    </row>
    <row r="8" spans="1:6" s="2" customFormat="1" ht="3.75" customHeight="1">
      <c r="A8" s="36"/>
      <c r="B8" s="432"/>
      <c r="C8" s="560"/>
      <c r="D8" s="561"/>
      <c r="E8" s="36"/>
      <c r="F8" s="36"/>
    </row>
    <row r="9" spans="1:6" s="2" customFormat="1" ht="22.5" customHeight="1">
      <c r="A9" s="36"/>
      <c r="B9" s="294" t="s">
        <v>151</v>
      </c>
      <c r="C9" s="569" t="s">
        <v>20</v>
      </c>
      <c r="D9" s="569"/>
      <c r="E9" s="36"/>
      <c r="F9" s="36"/>
    </row>
    <row r="10" spans="1:5" ht="39.75" customHeight="1">
      <c r="A10" s="100"/>
      <c r="B10" s="37"/>
      <c r="C10" s="559" t="s">
        <v>335</v>
      </c>
      <c r="D10" s="559"/>
      <c r="E10" s="80"/>
    </row>
    <row r="11" spans="1:5" ht="22.5" customHeight="1">
      <c r="A11" s="100"/>
      <c r="B11" s="295" t="s">
        <v>105</v>
      </c>
      <c r="C11" s="572" t="s">
        <v>341</v>
      </c>
      <c r="D11" s="572"/>
      <c r="E11" s="80"/>
    </row>
    <row r="12" spans="1:12" s="5" customFormat="1" ht="39.75" customHeight="1">
      <c r="A12" s="101"/>
      <c r="B12" s="296" t="s">
        <v>90</v>
      </c>
      <c r="C12" s="570" t="s">
        <v>342</v>
      </c>
      <c r="D12" s="570"/>
      <c r="E12" s="3"/>
      <c r="F12" s="3"/>
      <c r="G12" s="4"/>
      <c r="H12" s="4"/>
      <c r="L12" s="217"/>
    </row>
    <row r="13" spans="1:5" ht="22.5" customHeight="1" hidden="1">
      <c r="A13" s="100"/>
      <c r="B13" s="295" t="s">
        <v>89</v>
      </c>
      <c r="C13" s="554"/>
      <c r="D13" s="554"/>
      <c r="E13" s="80"/>
    </row>
    <row r="14" spans="1:5" ht="22.5" customHeight="1">
      <c r="A14" s="100"/>
      <c r="B14" s="295" t="s">
        <v>82</v>
      </c>
      <c r="C14" s="554" t="s">
        <v>343</v>
      </c>
      <c r="D14" s="554"/>
      <c r="E14" s="40"/>
    </row>
    <row r="15" spans="1:5" ht="22.5" customHeight="1">
      <c r="A15" s="100"/>
      <c r="B15" s="295" t="s">
        <v>79</v>
      </c>
      <c r="C15" s="554" t="s">
        <v>344</v>
      </c>
      <c r="D15" s="554"/>
      <c r="E15" s="40"/>
    </row>
    <row r="16" spans="1:5" ht="22.5" customHeight="1">
      <c r="A16" s="100"/>
      <c r="B16" s="295" t="s">
        <v>88</v>
      </c>
      <c r="C16" s="554" t="s">
        <v>345</v>
      </c>
      <c r="D16" s="577"/>
      <c r="E16" s="40"/>
    </row>
    <row r="17" spans="1:5" ht="22.5" customHeight="1">
      <c r="A17" s="100"/>
      <c r="B17" s="295" t="s">
        <v>202</v>
      </c>
      <c r="C17" s="554" t="s">
        <v>346</v>
      </c>
      <c r="D17" s="578"/>
      <c r="E17" s="80"/>
    </row>
    <row r="18" spans="1:5" ht="22.5" customHeight="1">
      <c r="A18" s="100"/>
      <c r="B18" s="295" t="s">
        <v>158</v>
      </c>
      <c r="C18" s="554" t="s">
        <v>347</v>
      </c>
      <c r="D18" s="578"/>
      <c r="E18" s="80"/>
    </row>
    <row r="19" spans="1:5" ht="39.75" customHeight="1">
      <c r="A19" s="100"/>
      <c r="B19" s="39"/>
      <c r="C19" s="563" t="s">
        <v>21</v>
      </c>
      <c r="D19" s="563"/>
      <c r="E19" s="40"/>
    </row>
    <row r="20" spans="1:5" ht="30" customHeight="1">
      <c r="A20" s="100"/>
      <c r="B20" s="295" t="s">
        <v>156</v>
      </c>
      <c r="C20" s="572" t="s">
        <v>348</v>
      </c>
      <c r="D20" s="572"/>
      <c r="E20" s="40"/>
    </row>
    <row r="21" spans="1:5" ht="30" customHeight="1">
      <c r="A21" s="100"/>
      <c r="B21" s="295" t="s">
        <v>157</v>
      </c>
      <c r="C21" s="572" t="s">
        <v>349</v>
      </c>
      <c r="D21" s="572"/>
      <c r="E21" s="40"/>
    </row>
    <row r="22" spans="1:5" ht="22.5" customHeight="1">
      <c r="A22" s="100"/>
      <c r="B22" s="295" t="s">
        <v>85</v>
      </c>
      <c r="C22" s="554" t="s">
        <v>350</v>
      </c>
      <c r="D22" s="554"/>
      <c r="E22" s="40"/>
    </row>
    <row r="23" spans="1:5" ht="22.5" customHeight="1">
      <c r="A23" s="100"/>
      <c r="B23" s="297" t="s">
        <v>154</v>
      </c>
      <c r="C23" s="554" t="s">
        <v>351</v>
      </c>
      <c r="D23" s="555"/>
      <c r="E23" s="102"/>
    </row>
    <row r="24" spans="1:5" ht="22.5" customHeight="1">
      <c r="A24" s="100"/>
      <c r="B24" s="297" t="s">
        <v>204</v>
      </c>
      <c r="C24" s="554" t="s">
        <v>352</v>
      </c>
      <c r="D24" s="555"/>
      <c r="E24" s="102"/>
    </row>
    <row r="25" spans="1:5" ht="22.5" customHeight="1">
      <c r="A25" s="100"/>
      <c r="B25" s="297" t="s">
        <v>159</v>
      </c>
      <c r="C25" s="554" t="s">
        <v>353</v>
      </c>
      <c r="D25" s="555"/>
      <c r="E25" s="102"/>
    </row>
    <row r="26" spans="1:5" ht="22.5" customHeight="1">
      <c r="A26" s="100"/>
      <c r="B26" s="297" t="s">
        <v>155</v>
      </c>
      <c r="C26" s="554" t="s">
        <v>6</v>
      </c>
      <c r="D26" s="555"/>
      <c r="E26" s="102"/>
    </row>
    <row r="27" spans="1:5" ht="22.5" customHeight="1">
      <c r="A27" s="100"/>
      <c r="B27" s="294" t="s">
        <v>98</v>
      </c>
      <c r="C27" s="556" t="s">
        <v>354</v>
      </c>
      <c r="D27" s="557"/>
      <c r="E27" s="102"/>
    </row>
    <row r="28" spans="1:6" ht="22.5" customHeight="1">
      <c r="A28" s="33"/>
      <c r="B28" s="294" t="s">
        <v>99</v>
      </c>
      <c r="C28" s="558" t="s">
        <v>354</v>
      </c>
      <c r="D28" s="555"/>
      <c r="E28" s="102"/>
      <c r="F28" s="32"/>
    </row>
    <row r="29" spans="1:6" ht="22.5" customHeight="1">
      <c r="A29" s="33"/>
      <c r="B29" s="567" t="s">
        <v>86</v>
      </c>
      <c r="C29" s="292" t="s">
        <v>94</v>
      </c>
      <c r="D29" s="523" t="s">
        <v>355</v>
      </c>
      <c r="E29" s="102"/>
      <c r="F29" s="32"/>
    </row>
    <row r="30" spans="1:5" ht="22.5" customHeight="1">
      <c r="A30" s="100"/>
      <c r="B30" s="567"/>
      <c r="C30" s="292" t="s">
        <v>100</v>
      </c>
      <c r="D30" s="523" t="s">
        <v>356</v>
      </c>
      <c r="E30" s="102"/>
    </row>
    <row r="31" spans="1:6" ht="22.5" customHeight="1">
      <c r="A31" s="33"/>
      <c r="B31" s="567" t="s">
        <v>87</v>
      </c>
      <c r="C31" s="292" t="s">
        <v>94</v>
      </c>
      <c r="D31" s="523" t="s">
        <v>357</v>
      </c>
      <c r="E31" s="40"/>
      <c r="F31" s="32"/>
    </row>
    <row r="32" spans="1:7" ht="22.5" customHeight="1">
      <c r="A32" s="33"/>
      <c r="B32" s="567"/>
      <c r="C32" s="292" t="s">
        <v>100</v>
      </c>
      <c r="D32" s="523" t="s">
        <v>358</v>
      </c>
      <c r="E32" s="40"/>
      <c r="F32" s="32"/>
      <c r="G32" s="525"/>
    </row>
    <row r="33" spans="1:5" ht="22.5" customHeight="1">
      <c r="A33" s="100"/>
      <c r="B33" s="571" t="s">
        <v>83</v>
      </c>
      <c r="C33" s="293" t="s">
        <v>94</v>
      </c>
      <c r="D33" s="523" t="s">
        <v>359</v>
      </c>
      <c r="E33" s="40"/>
    </row>
    <row r="34" spans="1:6" ht="22.5" customHeight="1">
      <c r="A34" s="33"/>
      <c r="B34" s="571"/>
      <c r="C34" s="293" t="s">
        <v>101</v>
      </c>
      <c r="D34" s="523" t="s">
        <v>360</v>
      </c>
      <c r="E34" s="40"/>
      <c r="F34" s="32"/>
    </row>
    <row r="35" spans="1:6" ht="15" customHeight="1">
      <c r="A35" s="33"/>
      <c r="B35" s="571"/>
      <c r="C35" s="293" t="s">
        <v>100</v>
      </c>
      <c r="D35" s="523" t="s">
        <v>361</v>
      </c>
      <c r="E35" s="40"/>
      <c r="F35" s="32"/>
    </row>
    <row r="36" spans="1:6" ht="15" customHeight="1">
      <c r="A36" s="33"/>
      <c r="B36" s="571"/>
      <c r="C36" s="293" t="s">
        <v>102</v>
      </c>
      <c r="D36" s="524" t="s">
        <v>362</v>
      </c>
      <c r="E36" s="40"/>
      <c r="F36" s="32"/>
    </row>
    <row r="37" spans="1:6" ht="15" customHeight="1">
      <c r="A37" s="33"/>
      <c r="B37" s="33"/>
      <c r="C37" s="33"/>
      <c r="D37" s="34"/>
      <c r="E37" s="34"/>
      <c r="F37" s="32"/>
    </row>
    <row r="38" spans="4:6" s="42" customFormat="1" ht="11.25">
      <c r="D38" s="43"/>
      <c r="E38" s="43"/>
      <c r="F38" s="38"/>
    </row>
    <row r="43" spans="4:5" ht="11.25">
      <c r="D43" s="45"/>
      <c r="E43" s="45"/>
    </row>
  </sheetData>
  <sheetProtection formatColumns="0" formatRows="0"/>
  <mergeCells count="32">
    <mergeCell ref="I5:I6"/>
    <mergeCell ref="C6:D6"/>
    <mergeCell ref="C7:D7"/>
    <mergeCell ref="C16:D16"/>
    <mergeCell ref="C11:D11"/>
    <mergeCell ref="C18:D18"/>
    <mergeCell ref="C17:D17"/>
    <mergeCell ref="B33:B36"/>
    <mergeCell ref="C21:D21"/>
    <mergeCell ref="C22:D22"/>
    <mergeCell ref="B29:B30"/>
    <mergeCell ref="B31:B32"/>
    <mergeCell ref="C20:D20"/>
    <mergeCell ref="C25:D25"/>
    <mergeCell ref="C23:D23"/>
    <mergeCell ref="B2:D2"/>
    <mergeCell ref="C13:D13"/>
    <mergeCell ref="C19:D19"/>
    <mergeCell ref="C3:D3"/>
    <mergeCell ref="C5:D5"/>
    <mergeCell ref="B4:B5"/>
    <mergeCell ref="C15:D15"/>
    <mergeCell ref="C9:D9"/>
    <mergeCell ref="C14:D14"/>
    <mergeCell ref="C12:D12"/>
    <mergeCell ref="C4:D4"/>
    <mergeCell ref="C26:D26"/>
    <mergeCell ref="C27:D27"/>
    <mergeCell ref="C28:D28"/>
    <mergeCell ref="C24:D24"/>
    <mergeCell ref="C10:D10"/>
    <mergeCell ref="C8:D8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1:AH34"/>
  <sheetViews>
    <sheetView showGridLines="0" zoomScaleSheetLayoutView="100" zoomScalePageLayoutView="0" workbookViewId="0" topLeftCell="G6">
      <selection activeCell="H34" sqref="H34"/>
    </sheetView>
  </sheetViews>
  <sheetFormatPr defaultColWidth="0.85546875" defaultRowHeight="11.25"/>
  <cols>
    <col min="1" max="5" width="0" style="15" hidden="1" customWidth="1"/>
    <col min="6" max="6" width="3.7109375" style="15" customWidth="1"/>
    <col min="7" max="7" width="8.7109375" style="15" customWidth="1"/>
    <col min="8" max="8" width="55.7109375" style="15" customWidth="1"/>
    <col min="9" max="9" width="14.00390625" style="15" bestFit="1" customWidth="1"/>
    <col min="10" max="10" width="15.7109375" style="15" customWidth="1"/>
    <col min="11" max="11" width="2.28125" style="15" customWidth="1"/>
    <col min="12" max="12" width="3.7109375" style="15" customWidth="1"/>
    <col min="13" max="13" width="3.7109375" style="73" customWidth="1"/>
    <col min="14" max="16384" width="0.85546875" style="15" customWidth="1"/>
  </cols>
  <sheetData>
    <row r="1" spans="6:34" ht="11.25" hidden="1">
      <c r="F1" s="23"/>
      <c r="G1" s="23"/>
      <c r="H1" s="23"/>
      <c r="I1" s="23"/>
      <c r="J1" s="23"/>
      <c r="K1" s="23"/>
      <c r="L1" s="23"/>
      <c r="M1" s="5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6:34" ht="11.25" hidden="1">
      <c r="F2" s="23"/>
      <c r="G2" s="23"/>
      <c r="H2" s="23"/>
      <c r="I2" s="23"/>
      <c r="J2" s="23"/>
      <c r="K2" s="23"/>
      <c r="L2" s="23"/>
      <c r="M2" s="5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6:34" ht="11.25" hidden="1">
      <c r="F3" s="23"/>
      <c r="G3" s="23"/>
      <c r="H3" s="23"/>
      <c r="I3" s="23"/>
      <c r="J3" s="23"/>
      <c r="K3" s="23"/>
      <c r="L3" s="23"/>
      <c r="M3" s="5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6:34" ht="11.25" hidden="1">
      <c r="F4" s="23"/>
      <c r="G4" s="23"/>
      <c r="H4" s="23"/>
      <c r="I4" s="23"/>
      <c r="J4" s="23"/>
      <c r="K4" s="23"/>
      <c r="L4" s="23"/>
      <c r="M4" s="5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6:34" ht="11.25" hidden="1">
      <c r="F5" s="23"/>
      <c r="G5" s="23"/>
      <c r="H5" s="23"/>
      <c r="I5" s="23"/>
      <c r="J5" s="23"/>
      <c r="K5" s="23"/>
      <c r="L5" s="23"/>
      <c r="M5" s="5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6:34" ht="11.25">
      <c r="F6" s="23"/>
      <c r="G6" s="23"/>
      <c r="H6" s="23"/>
      <c r="I6" s="23"/>
      <c r="J6" s="23"/>
      <c r="K6" s="23"/>
      <c r="L6" s="23"/>
      <c r="M6" s="5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6:34" s="16" customFormat="1" ht="15" customHeight="1">
      <c r="F7" s="26"/>
      <c r="G7" s="26"/>
      <c r="H7" s="74"/>
      <c r="I7" s="26"/>
      <c r="J7" s="17" t="s">
        <v>316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6:34" s="16" customFormat="1" ht="15" customHeight="1">
      <c r="F8" s="26"/>
      <c r="G8" s="670" t="s">
        <v>147</v>
      </c>
      <c r="H8" s="670"/>
      <c r="I8" s="670"/>
      <c r="J8" s="670"/>
      <c r="K8" s="10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6:34" s="16" customFormat="1" ht="12" customHeight="1">
      <c r="F9" s="26"/>
      <c r="G9" s="671" t="str">
        <f>IF(org&lt;&gt;"",org,"Организация не определена")</f>
        <v>ОАО "Новгородоблэлектро"</v>
      </c>
      <c r="H9" s="671"/>
      <c r="I9" s="671"/>
      <c r="J9" s="671"/>
      <c r="K9" s="109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6:34" s="25" customFormat="1" ht="33.75">
      <c r="F10" s="28"/>
      <c r="G10" s="211" t="s">
        <v>91</v>
      </c>
      <c r="H10" s="211" t="s">
        <v>110</v>
      </c>
      <c r="I10" s="211" t="s">
        <v>146</v>
      </c>
      <c r="J10" s="212" t="s">
        <v>209</v>
      </c>
      <c r="K10" s="105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6:34" s="25" customFormat="1" ht="11.25">
      <c r="F11" s="28"/>
      <c r="G11" s="213">
        <v>1</v>
      </c>
      <c r="H11" s="213">
        <v>2</v>
      </c>
      <c r="I11" s="213">
        <v>3</v>
      </c>
      <c r="J11" s="213">
        <v>4</v>
      </c>
      <c r="K11" s="46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6:34" s="25" customFormat="1" ht="15" customHeight="1">
      <c r="F12" s="28"/>
      <c r="G12" s="213"/>
      <c r="H12" s="213"/>
      <c r="I12" s="304"/>
      <c r="J12" s="434"/>
      <c r="K12" s="46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6:34" s="16" customFormat="1" ht="22.5">
      <c r="F13" s="26"/>
      <c r="G13" s="301">
        <v>1</v>
      </c>
      <c r="H13" s="300" t="s">
        <v>115</v>
      </c>
      <c r="I13" s="301" t="s">
        <v>145</v>
      </c>
      <c r="J13" s="302">
        <f>'ПоказНадежн (Пп)'!F43</f>
        <v>0.014488061245603144</v>
      </c>
      <c r="K13" s="10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6:34" s="16" customFormat="1" ht="22.5">
      <c r="F14" s="26"/>
      <c r="G14" s="301">
        <v>2</v>
      </c>
      <c r="H14" s="300" t="s">
        <v>235</v>
      </c>
      <c r="I14" s="301" t="s">
        <v>310</v>
      </c>
      <c r="J14" s="305"/>
      <c r="K14" s="10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6:34" s="16" customFormat="1" ht="22.5">
      <c r="F15" s="26"/>
      <c r="G15" s="301">
        <v>3</v>
      </c>
      <c r="H15" s="300" t="s">
        <v>236</v>
      </c>
      <c r="I15" s="301" t="s">
        <v>311</v>
      </c>
      <c r="J15" s="302">
        <f>'ПоказКачества (Птсо)'!J9</f>
        <v>0.9694666666666666</v>
      </c>
      <c r="K15" s="10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6:34" s="16" customFormat="1" ht="15" customHeight="1">
      <c r="F16" s="26"/>
      <c r="G16" s="301">
        <v>4</v>
      </c>
      <c r="H16" s="300" t="s">
        <v>237</v>
      </c>
      <c r="I16" s="301" t="s">
        <v>144</v>
      </c>
      <c r="J16" s="302">
        <f>'ф.1.4 План_Надежность'!L13</f>
        <v>0.38</v>
      </c>
      <c r="K16" s="10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6:34" s="16" customFormat="1" ht="15" customHeight="1">
      <c r="F17" s="26"/>
      <c r="G17" s="301">
        <v>5</v>
      </c>
      <c r="H17" s="300" t="s">
        <v>238</v>
      </c>
      <c r="I17" s="301" t="s">
        <v>144</v>
      </c>
      <c r="J17" s="305"/>
      <c r="K17" s="10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6:34" s="16" customFormat="1" ht="11.25">
      <c r="F18" s="26"/>
      <c r="G18" s="301">
        <v>6</v>
      </c>
      <c r="H18" s="300" t="s">
        <v>239</v>
      </c>
      <c r="I18" s="301" t="s">
        <v>144</v>
      </c>
      <c r="J18" s="302">
        <v>0.8975</v>
      </c>
      <c r="K18" s="10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6:34" s="16" customFormat="1" ht="22.5">
      <c r="F19" s="26"/>
      <c r="G19" s="301">
        <v>7</v>
      </c>
      <c r="H19" s="300" t="s">
        <v>143</v>
      </c>
      <c r="I19" s="301" t="s">
        <v>312</v>
      </c>
      <c r="J19" s="302">
        <f>IF((J22+J23)=2,0,IF(J13&lt;=J16*(1-0.35),1,IF(J13&lt;=J16*(1+0.35),0,IF(J13&gt;J16*(1+0.35),-1))))</f>
        <v>1</v>
      </c>
      <c r="K19" s="10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6:34" ht="33.75">
      <c r="F20" s="52"/>
      <c r="G20" s="301">
        <v>8</v>
      </c>
      <c r="H20" s="300" t="s">
        <v>306</v>
      </c>
      <c r="I20" s="301" t="s">
        <v>312</v>
      </c>
      <c r="J20" s="305"/>
      <c r="K20" s="52"/>
      <c r="L20" s="52"/>
      <c r="M20" s="5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6:34" ht="22.5">
      <c r="F21" s="52"/>
      <c r="G21" s="435" t="s">
        <v>75</v>
      </c>
      <c r="H21" s="436" t="s">
        <v>307</v>
      </c>
      <c r="I21" s="435" t="s">
        <v>312</v>
      </c>
      <c r="J21" s="437">
        <f>IF(J15&lt;=J18*(1-0.35),1,IF(J15&lt;=J18*(1+0.35),0,IF(J15&gt;J18*(1+0.35),-1)))</f>
        <v>0</v>
      </c>
      <c r="K21" s="52"/>
      <c r="L21" s="52"/>
      <c r="M21" s="5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6:34" ht="15" customHeight="1">
      <c r="F22" s="52"/>
      <c r="G22" s="438"/>
      <c r="H22" s="439" t="s">
        <v>313</v>
      </c>
      <c r="I22" s="438"/>
      <c r="J22" s="552">
        <f>IF(J16&lt;0.000001,1,10)</f>
        <v>10</v>
      </c>
      <c r="K22" s="52"/>
      <c r="L22" s="52"/>
      <c r="M22" s="5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6:34" ht="15" customHeight="1">
      <c r="F23" s="52"/>
      <c r="G23" s="438"/>
      <c r="H23" s="439" t="s">
        <v>314</v>
      </c>
      <c r="I23" s="438"/>
      <c r="J23" s="552">
        <f>IF(J13&lt;0.000001,1,10)</f>
        <v>10</v>
      </c>
      <c r="K23" s="52"/>
      <c r="L23" s="52"/>
      <c r="M23" s="5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6:34" ht="33" customHeight="1">
      <c r="F24" s="52"/>
      <c r="G24" s="52"/>
      <c r="H24" s="52"/>
      <c r="I24" s="52"/>
      <c r="J24" s="52"/>
      <c r="K24" s="52"/>
      <c r="L24" s="52"/>
      <c r="M24" s="5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6:34" ht="24.75" customHeight="1">
      <c r="F25" s="52"/>
      <c r="G25" s="52"/>
      <c r="H25" s="52"/>
      <c r="I25" s="52"/>
      <c r="J25" s="52"/>
      <c r="K25" s="52"/>
      <c r="L25" s="52"/>
      <c r="M25" s="5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6:34" s="6" customFormat="1" ht="11.25">
      <c r="F26" s="9"/>
      <c r="G26" s="9"/>
      <c r="H26" s="9" t="s">
        <v>92</v>
      </c>
      <c r="I26" s="10"/>
      <c r="J26" s="13"/>
      <c r="K26" s="13"/>
      <c r="L26" s="1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6:34" s="6" customFormat="1" ht="11.25">
      <c r="F27" s="9"/>
      <c r="G27" s="9"/>
      <c r="H27" s="10"/>
      <c r="I27" s="10"/>
      <c r="J27" s="13"/>
      <c r="K27" s="13"/>
      <c r="L27" s="1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6:34" s="6" customFormat="1" ht="11.25">
      <c r="F28" s="9"/>
      <c r="G28" s="11"/>
      <c r="H28" s="12"/>
      <c r="I28" s="12"/>
      <c r="J28" s="59" t="str">
        <f>IF(fioRUK="","Руководитель не задан",fioRUK)</f>
        <v>Муравин Алексей Анатольевич</v>
      </c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6:34" s="6" customFormat="1" ht="11.25">
      <c r="F29" s="9"/>
      <c r="G29" s="579" t="s">
        <v>93</v>
      </c>
      <c r="H29" s="579"/>
      <c r="I29" s="579" t="s">
        <v>94</v>
      </c>
      <c r="J29" s="579"/>
      <c r="K29" s="13"/>
      <c r="L29" s="1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6:34" s="6" customFormat="1" ht="11.25">
      <c r="F30" s="9"/>
      <c r="G30" s="61" t="str">
        <f>IF(doljnDL="","Должность не задана",doljnDL)</f>
        <v>и.о. заместителя генерального директора по реализации услуг</v>
      </c>
      <c r="H30" s="12"/>
      <c r="I30" s="12"/>
      <c r="J30" s="59" t="str">
        <f>IF(fioDL="","Должностное лицо не задано",fioDL)</f>
        <v>Смышляева Елена Николаевна</v>
      </c>
      <c r="K30" s="13"/>
      <c r="L30" s="1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6:34" s="6" customFormat="1" ht="11.25">
      <c r="F31" s="9"/>
      <c r="G31" s="579" t="s">
        <v>95</v>
      </c>
      <c r="H31" s="579"/>
      <c r="I31" s="579" t="s">
        <v>94</v>
      </c>
      <c r="J31" s="579"/>
      <c r="K31" s="13"/>
      <c r="L31" s="1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6:34" s="6" customFormat="1" ht="11.25">
      <c r="F32" s="9"/>
      <c r="G32" s="65" t="str">
        <f>IF(DL_Tel&lt;&gt;"","Телефон: "&amp;DL_Tel&amp;", ","")&amp;IF(DL_email&lt;&gt;"","e-mail: "&amp;DL_email,"")</f>
        <v>Телефон: (88162)680112, e-mail: smen@nokes.natm.ru</v>
      </c>
      <c r="H32" s="7"/>
      <c r="I32" s="7"/>
      <c r="J32" s="8"/>
      <c r="K32" s="13"/>
      <c r="L32" s="1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6:34" s="6" customFormat="1" ht="11.25">
      <c r="F33" s="9"/>
      <c r="G33" s="579" t="s">
        <v>96</v>
      </c>
      <c r="H33" s="579"/>
      <c r="I33" s="579"/>
      <c r="J33" s="579"/>
      <c r="K33" s="13"/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6:34" ht="11.25">
      <c r="F34" s="52"/>
      <c r="G34" s="52"/>
      <c r="H34" s="52"/>
      <c r="I34" s="52"/>
      <c r="J34" s="52"/>
      <c r="K34" s="52"/>
      <c r="L34" s="52"/>
      <c r="M34" s="52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="73" customFormat="1" ht="11.25"/>
  </sheetData>
  <sheetProtection formatColumns="0" formatRows="0"/>
  <mergeCells count="7">
    <mergeCell ref="G8:J8"/>
    <mergeCell ref="G9:J9"/>
    <mergeCell ref="G33:J33"/>
    <mergeCell ref="G29:H29"/>
    <mergeCell ref="I29:J29"/>
    <mergeCell ref="G31:H31"/>
    <mergeCell ref="I31:J31"/>
  </mergeCells>
  <printOptions/>
  <pageMargins left="0.5905511811023623" right="0.5118110236220472" top="0.4" bottom="0.3937007874015748" header="0.1968503937007874" footer="0.1968503937007874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1:AI32"/>
  <sheetViews>
    <sheetView showGridLines="0" tabSelected="1" zoomScaleSheetLayoutView="100" zoomScalePageLayoutView="0" workbookViewId="0" topLeftCell="F6">
      <selection activeCell="I17" sqref="I17"/>
    </sheetView>
  </sheetViews>
  <sheetFormatPr defaultColWidth="0.85546875" defaultRowHeight="11.25"/>
  <cols>
    <col min="1" max="5" width="0" style="15" hidden="1" customWidth="1"/>
    <col min="6" max="6" width="3.7109375" style="15" customWidth="1"/>
    <col min="7" max="7" width="8.7109375" style="15" customWidth="1"/>
    <col min="8" max="8" width="56.00390625" style="15" customWidth="1"/>
    <col min="9" max="9" width="14.00390625" style="15" bestFit="1" customWidth="1"/>
    <col min="10" max="10" width="15.7109375" style="15" customWidth="1"/>
    <col min="11" max="11" width="6.7109375" style="0" customWidth="1"/>
    <col min="12" max="12" width="3.7109375" style="15" customWidth="1"/>
    <col min="13" max="13" width="3.7109375" style="73" customWidth="1"/>
    <col min="14" max="16384" width="0.85546875" style="15" customWidth="1"/>
  </cols>
  <sheetData>
    <row r="1" spans="6:35" ht="11.25" hidden="1">
      <c r="F1" s="23"/>
      <c r="G1" s="23"/>
      <c r="H1" s="23"/>
      <c r="I1" s="23"/>
      <c r="J1" s="23"/>
      <c r="K1" s="1"/>
      <c r="L1" s="23"/>
      <c r="M1" s="5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6:35" ht="11.25" hidden="1">
      <c r="F2" s="23"/>
      <c r="G2" s="23"/>
      <c r="H2" s="23"/>
      <c r="I2" s="23"/>
      <c r="J2" s="23"/>
      <c r="K2" s="1"/>
      <c r="L2" s="23"/>
      <c r="M2" s="5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6:35" ht="11.25" hidden="1">
      <c r="F3" s="23"/>
      <c r="G3" s="23"/>
      <c r="H3" s="23"/>
      <c r="I3" s="23"/>
      <c r="J3" s="23"/>
      <c r="K3" s="1"/>
      <c r="L3" s="23"/>
      <c r="M3" s="5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6:35" ht="11.25" hidden="1">
      <c r="F4" s="23"/>
      <c r="G4" s="23"/>
      <c r="H4" s="23"/>
      <c r="I4" s="23"/>
      <c r="J4" s="23"/>
      <c r="K4" s="1"/>
      <c r="L4" s="23"/>
      <c r="M4" s="5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6:35" ht="11.25" hidden="1">
      <c r="F5" s="23"/>
      <c r="G5" s="23"/>
      <c r="H5" s="23"/>
      <c r="I5" s="23"/>
      <c r="J5" s="23"/>
      <c r="K5" s="1"/>
      <c r="L5" s="23"/>
      <c r="M5" s="5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6:35" s="73" customFormat="1" ht="11.25">
      <c r="F6" s="52"/>
      <c r="G6" s="52"/>
      <c r="H6" s="52"/>
      <c r="I6" s="52"/>
      <c r="J6" s="52"/>
      <c r="K6" s="14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6:35" s="16" customFormat="1" ht="15" customHeight="1">
      <c r="F7" s="26"/>
      <c r="G7" s="26"/>
      <c r="H7" s="74"/>
      <c r="I7" s="26"/>
      <c r="J7" s="17" t="s">
        <v>315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6:35" s="16" customFormat="1" ht="15" customHeight="1">
      <c r="F8" s="26"/>
      <c r="G8" s="670" t="s">
        <v>150</v>
      </c>
      <c r="H8" s="670"/>
      <c r="I8" s="670"/>
      <c r="J8" s="670"/>
      <c r="K8" s="108"/>
      <c r="L8" s="110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6:35" s="16" customFormat="1" ht="12" customHeight="1">
      <c r="F9" s="26"/>
      <c r="G9" s="672" t="str">
        <f>IF(org&lt;&gt;"",org,"Организация не определена")</f>
        <v>ОАО "Новгородоблэлектро"</v>
      </c>
      <c r="H9" s="672"/>
      <c r="I9" s="672"/>
      <c r="J9" s="672"/>
      <c r="K9" s="108"/>
      <c r="L9" s="110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6:35" s="25" customFormat="1" ht="33.75">
      <c r="F10" s="28"/>
      <c r="G10" s="211" t="s">
        <v>91</v>
      </c>
      <c r="H10" s="211" t="s">
        <v>110</v>
      </c>
      <c r="I10" s="211" t="s">
        <v>146</v>
      </c>
      <c r="J10" s="212" t="str">
        <f>IF(prd&lt;&gt;"","Значение на "&amp;prd&amp;" год","Не определено")</f>
        <v>Значение на 2014 год</v>
      </c>
      <c r="K10" s="68"/>
      <c r="L10" s="11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6:35" s="25" customFormat="1" ht="11.25">
      <c r="F11" s="28"/>
      <c r="G11" s="213">
        <v>1</v>
      </c>
      <c r="H11" s="213">
        <v>2</v>
      </c>
      <c r="I11" s="213">
        <v>3</v>
      </c>
      <c r="J11" s="213">
        <v>4</v>
      </c>
      <c r="K11" s="68"/>
      <c r="L11" s="11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6:35" s="16" customFormat="1" ht="22.5">
      <c r="F12" s="26"/>
      <c r="G12" s="299" t="s">
        <v>84</v>
      </c>
      <c r="H12" s="300" t="s">
        <v>241</v>
      </c>
      <c r="I12" s="301"/>
      <c r="J12" s="349">
        <v>0.65</v>
      </c>
      <c r="K12" s="68"/>
      <c r="L12" s="11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6:35" s="16" customFormat="1" ht="22.5">
      <c r="F13" s="26"/>
      <c r="G13" s="299" t="s">
        <v>80</v>
      </c>
      <c r="H13" s="300" t="s">
        <v>242</v>
      </c>
      <c r="I13" s="301"/>
      <c r="J13" s="349">
        <v>0.35</v>
      </c>
      <c r="K13" s="68"/>
      <c r="L13" s="11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6:35" s="16" customFormat="1" ht="22.5" hidden="1">
      <c r="F14" s="26"/>
      <c r="G14" s="299" t="s">
        <v>81</v>
      </c>
      <c r="H14" s="300" t="s">
        <v>243</v>
      </c>
      <c r="I14" s="301"/>
      <c r="J14" s="349">
        <v>0.25</v>
      </c>
      <c r="K14" s="68"/>
      <c r="L14" s="11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6:35" s="16" customFormat="1" ht="22.5" hidden="1">
      <c r="F15" s="26"/>
      <c r="G15" s="299" t="s">
        <v>124</v>
      </c>
      <c r="H15" s="300" t="s">
        <v>244</v>
      </c>
      <c r="I15" s="301"/>
      <c r="J15" s="349">
        <v>0.1</v>
      </c>
      <c r="K15" s="68"/>
      <c r="L15" s="110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6:35" s="16" customFormat="1" ht="22.5">
      <c r="F16" s="26"/>
      <c r="G16" s="521" t="s">
        <v>81</v>
      </c>
      <c r="H16" s="300" t="s">
        <v>143</v>
      </c>
      <c r="I16" s="301" t="s">
        <v>240</v>
      </c>
      <c r="J16" s="349">
        <f>'ф.7.1 Достижение'!J19</f>
        <v>1</v>
      </c>
      <c r="K16" s="68"/>
      <c r="L16" s="11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6:35" s="16" customFormat="1" ht="22.5">
      <c r="F17" s="26"/>
      <c r="G17" s="303">
        <v>4</v>
      </c>
      <c r="H17" s="300" t="s">
        <v>149</v>
      </c>
      <c r="I17" s="301" t="s">
        <v>240</v>
      </c>
      <c r="J17" s="349">
        <f>'ф.7.1 Достижение'!J21</f>
        <v>0</v>
      </c>
      <c r="K17" s="1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6:35" s="16" customFormat="1" ht="22.5" hidden="1">
      <c r="F18" s="26"/>
      <c r="G18" s="303">
        <v>7</v>
      </c>
      <c r="H18" s="300" t="s">
        <v>245</v>
      </c>
      <c r="I18" s="301" t="s">
        <v>240</v>
      </c>
      <c r="J18" s="349">
        <f>'ф.7.1 Достижение'!J22</f>
        <v>10</v>
      </c>
      <c r="K18" s="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6:35" s="16" customFormat="1" ht="22.5" hidden="1">
      <c r="F19" s="26"/>
      <c r="G19" s="303">
        <v>8</v>
      </c>
      <c r="H19" s="300" t="s">
        <v>246</v>
      </c>
      <c r="I19" s="301" t="s">
        <v>240</v>
      </c>
      <c r="J19" s="349">
        <f>'ф.7.1 Достижение'!J23</f>
        <v>10</v>
      </c>
      <c r="K19" s="1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6:35" s="16" customFormat="1" ht="22.5">
      <c r="F20" s="26"/>
      <c r="G20" s="303">
        <v>5</v>
      </c>
      <c r="H20" s="300" t="s">
        <v>148</v>
      </c>
      <c r="I20" s="301" t="s">
        <v>240</v>
      </c>
      <c r="J20" s="349">
        <f>J12*J16+J13*J17</f>
        <v>0.65</v>
      </c>
      <c r="K20" s="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6:35" s="16" customFormat="1" ht="11.25">
      <c r="F21" s="26"/>
      <c r="G21" s="26"/>
      <c r="H21" s="28"/>
      <c r="I21" s="27"/>
      <c r="J21" s="27"/>
      <c r="K21" s="1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6:35" s="16" customFormat="1" ht="11.25">
      <c r="F22" s="26"/>
      <c r="G22" s="26"/>
      <c r="H22" s="28"/>
      <c r="I22" s="27"/>
      <c r="J22" s="27"/>
      <c r="K22" s="1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6:34" s="6" customFormat="1" ht="11.25">
      <c r="F23" s="9"/>
      <c r="G23" s="9"/>
      <c r="H23" s="9" t="s">
        <v>92</v>
      </c>
      <c r="I23" s="10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6:34" s="6" customFormat="1" ht="11.25">
      <c r="F24" s="9"/>
      <c r="G24" s="9"/>
      <c r="H24" s="10"/>
      <c r="I24" s="10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6:34" s="6" customFormat="1" ht="11.25">
      <c r="F25" s="9"/>
      <c r="G25" s="11"/>
      <c r="H25" s="12"/>
      <c r="I25" s="12"/>
      <c r="J25" s="59" t="str">
        <f>IF(fioRUK="","Руководитель не задан",fioRUK)</f>
        <v>Муравин Алексей Анатольевич</v>
      </c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6:34" s="6" customFormat="1" ht="11.25">
      <c r="F26" s="9"/>
      <c r="G26" s="579" t="s">
        <v>93</v>
      </c>
      <c r="H26" s="579"/>
      <c r="I26" s="579" t="s">
        <v>94</v>
      </c>
      <c r="J26" s="579"/>
      <c r="K26" s="13"/>
      <c r="L26" s="1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6:34" s="6" customFormat="1" ht="11.25">
      <c r="F27" s="9"/>
      <c r="G27" s="61" t="str">
        <f>IF(doljnDL="","Должность не задана",doljnDL)</f>
        <v>и.о. заместителя генерального директора по реализации услуг</v>
      </c>
      <c r="H27" s="12"/>
      <c r="I27" s="12"/>
      <c r="J27" s="59" t="str">
        <f>IF(fioDL="","Должностное лицо не задано",fioDL)</f>
        <v>Смышляева Елена Николаевна</v>
      </c>
      <c r="K27" s="13"/>
      <c r="L27" s="1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6:34" s="6" customFormat="1" ht="11.25">
      <c r="F28" s="9"/>
      <c r="G28" s="579" t="s">
        <v>95</v>
      </c>
      <c r="H28" s="579"/>
      <c r="I28" s="579" t="s">
        <v>94</v>
      </c>
      <c r="J28" s="579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6:34" s="6" customFormat="1" ht="11.25">
      <c r="F29" s="9"/>
      <c r="G29" s="65" t="str">
        <f>IF(DL_Tel&lt;&gt;"","Телефон: "&amp;DL_Tel&amp;", ","")&amp;IF(DL_email&lt;&gt;"","e-mail: "&amp;DL_email,"")</f>
        <v>Телефон: (88162)680112, e-mail: smen@nokes.natm.ru</v>
      </c>
      <c r="H29" s="7"/>
      <c r="I29" s="7"/>
      <c r="J29" s="8"/>
      <c r="K29" s="13"/>
      <c r="L29" s="1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6:34" s="6" customFormat="1" ht="11.25">
      <c r="F30" s="9"/>
      <c r="G30" s="579" t="s">
        <v>96</v>
      </c>
      <c r="H30" s="579"/>
      <c r="I30" s="579"/>
      <c r="J30" s="579"/>
      <c r="K30" s="13"/>
      <c r="L30" s="1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6:34" ht="11.25">
      <c r="F31" s="52"/>
      <c r="G31" s="52"/>
      <c r="H31" s="52"/>
      <c r="I31" s="52"/>
      <c r="J31" s="52"/>
      <c r="K31" s="52"/>
      <c r="L31" s="52"/>
      <c r="M31" s="5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="73" customFormat="1" ht="11.25">
      <c r="K32" s="67"/>
    </row>
  </sheetData>
  <sheetProtection formatColumns="0" formatRows="0"/>
  <mergeCells count="7">
    <mergeCell ref="G8:J8"/>
    <mergeCell ref="G9:J9"/>
    <mergeCell ref="G30:J30"/>
    <mergeCell ref="G26:H26"/>
    <mergeCell ref="I26:J26"/>
    <mergeCell ref="G28:H28"/>
    <mergeCell ref="I28:J28"/>
  </mergeCells>
  <printOptions/>
  <pageMargins left="0.68" right="0.5118110236220472" top="0.49" bottom="0.3937007874015748" header="0.1968503937007874" footer="0.1968503937007874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zoomScaleSheetLayoutView="70" zoomScalePageLayoutView="0" workbookViewId="0" topLeftCell="A19">
      <selection activeCell="C42" sqref="C42:E42"/>
    </sheetView>
  </sheetViews>
  <sheetFormatPr defaultColWidth="0.85546875" defaultRowHeight="11.25"/>
  <cols>
    <col min="1" max="1" width="3.7109375" style="15" customWidth="1"/>
    <col min="2" max="2" width="8.7109375" style="15" customWidth="1"/>
    <col min="3" max="3" width="38.421875" style="15" customWidth="1"/>
    <col min="4" max="4" width="20.7109375" style="15" hidden="1" customWidth="1"/>
    <col min="5" max="5" width="20.421875" style="15" customWidth="1"/>
    <col min="6" max="6" width="32.28125" style="15" customWidth="1"/>
    <col min="7" max="8" width="3.7109375" style="15" customWidth="1"/>
    <col min="9" max="51" width="0.2890625" style="15" customWidth="1"/>
    <col min="52" max="53" width="1.1484375" style="15" customWidth="1"/>
    <col min="54" max="188" width="0.85546875" style="15" customWidth="1"/>
    <col min="189" max="189" width="0.85546875" style="0" customWidth="1"/>
    <col min="190" max="16384" width="0.85546875" style="15" customWidth="1"/>
  </cols>
  <sheetData>
    <row r="1" spans="1:15" ht="19.5" customHeight="1">
      <c r="A1" s="52"/>
      <c r="B1" s="52"/>
      <c r="C1" s="316"/>
      <c r="D1" s="317"/>
      <c r="E1" s="50"/>
      <c r="F1" s="17"/>
      <c r="G1" s="52"/>
      <c r="H1" s="73"/>
      <c r="I1" s="73"/>
      <c r="J1" s="73"/>
      <c r="K1" s="73"/>
      <c r="L1" s="73"/>
      <c r="M1" s="73"/>
      <c r="N1" s="73"/>
      <c r="O1" s="73"/>
    </row>
    <row r="2" spans="1:15" ht="22.5" customHeight="1">
      <c r="A2" s="52"/>
      <c r="B2" s="588" t="str">
        <f>"Журнал учета текущей информации о прекращении передачи электрической энергии для потребителей услуг электросетевой организации за "&amp;IF(prd="","ГОД НЕ ОПРЕДЕЛЁН",prd&amp;" год")</f>
        <v>Журнал учета текущей информации о прекращении передачи электрической энергии для потребителей услуг электросетевой организации за 2014 год</v>
      </c>
      <c r="C2" s="585"/>
      <c r="D2" s="585"/>
      <c r="E2" s="585"/>
      <c r="F2" s="585"/>
      <c r="G2" s="52"/>
      <c r="H2" s="73"/>
      <c r="I2" s="73"/>
      <c r="J2" s="73"/>
      <c r="K2" s="73"/>
      <c r="L2" s="73"/>
      <c r="M2" s="73"/>
      <c r="N2" s="73"/>
      <c r="O2" s="73"/>
    </row>
    <row r="3" spans="1:15" ht="15" customHeight="1">
      <c r="A3" s="52"/>
      <c r="B3" s="589" t="str">
        <f>IF(org&lt;&gt;"",org,"Организация не определена")</f>
        <v>ОАО "Новгородоблэлектро"</v>
      </c>
      <c r="C3" s="589"/>
      <c r="D3" s="589"/>
      <c r="E3" s="589"/>
      <c r="F3" s="589"/>
      <c r="G3" s="52"/>
      <c r="H3" s="73"/>
      <c r="I3" s="73"/>
      <c r="J3" s="73"/>
      <c r="K3" s="73"/>
      <c r="L3" s="73"/>
      <c r="M3" s="73"/>
      <c r="N3" s="73"/>
      <c r="O3" s="73"/>
    </row>
    <row r="4" spans="1:15" ht="15" customHeight="1">
      <c r="A4" s="52"/>
      <c r="B4" s="532"/>
      <c r="C4" s="532"/>
      <c r="D4" s="532"/>
      <c r="E4" s="532"/>
      <c r="F4" s="533" t="s">
        <v>337</v>
      </c>
      <c r="G4" s="52"/>
      <c r="H4" s="73"/>
      <c r="I4" s="73"/>
      <c r="J4" s="73"/>
      <c r="K4" s="73"/>
      <c r="L4" s="73"/>
      <c r="M4" s="73"/>
      <c r="N4" s="73"/>
      <c r="O4" s="73"/>
    </row>
    <row r="5" spans="1:7" s="16" customFormat="1" ht="15" customHeight="1">
      <c r="A5" s="26"/>
      <c r="B5" s="590" t="s">
        <v>206</v>
      </c>
      <c r="C5" s="582" t="s">
        <v>205</v>
      </c>
      <c r="D5" s="586" t="s">
        <v>22</v>
      </c>
      <c r="E5" s="582" t="s">
        <v>107</v>
      </c>
      <c r="F5" s="582" t="s">
        <v>106</v>
      </c>
      <c r="G5" s="26"/>
    </row>
    <row r="6" spans="1:7" s="16" customFormat="1" ht="45.75" customHeight="1">
      <c r="A6" s="26"/>
      <c r="B6" s="590"/>
      <c r="C6" s="582"/>
      <c r="D6" s="586"/>
      <c r="E6" s="591"/>
      <c r="F6" s="591"/>
      <c r="G6" s="26"/>
    </row>
    <row r="7" spans="1:7" s="16" customFormat="1" ht="15" customHeight="1">
      <c r="A7" s="26"/>
      <c r="B7" s="213">
        <v>1</v>
      </c>
      <c r="C7" s="213">
        <v>2</v>
      </c>
      <c r="D7" s="213">
        <v>3</v>
      </c>
      <c r="E7" s="213">
        <v>3</v>
      </c>
      <c r="F7" s="213">
        <v>4</v>
      </c>
      <c r="G7" s="26"/>
    </row>
    <row r="8" spans="1:49" s="16" customFormat="1" ht="15" customHeight="1">
      <c r="A8" s="137"/>
      <c r="B8" s="299" t="s">
        <v>84</v>
      </c>
      <c r="C8" s="526"/>
      <c r="D8" s="527"/>
      <c r="E8" s="528">
        <v>23.8333</v>
      </c>
      <c r="F8" s="528">
        <v>9255</v>
      </c>
      <c r="AW8" s="16">
        <f>IF(D8&lt;&gt;"Да",F8,0)</f>
        <v>9255</v>
      </c>
    </row>
    <row r="9" spans="1:49" s="16" customFormat="1" ht="15" customHeight="1">
      <c r="A9" s="137"/>
      <c r="B9" s="299" t="s">
        <v>80</v>
      </c>
      <c r="C9" s="526"/>
      <c r="D9" s="527"/>
      <c r="E9" s="529">
        <v>27.2167</v>
      </c>
      <c r="F9" s="528">
        <v>11028</v>
      </c>
      <c r="AW9" s="16">
        <f aca="true" t="shared" si="0" ref="AW9:AW18">IF(D9&lt;&gt;"Да",F9,0)</f>
        <v>11028</v>
      </c>
    </row>
    <row r="10" spans="1:49" s="16" customFormat="1" ht="15" customHeight="1">
      <c r="A10" s="137"/>
      <c r="B10" s="299" t="s">
        <v>81</v>
      </c>
      <c r="C10" s="526"/>
      <c r="D10" s="527"/>
      <c r="E10" s="530">
        <v>10.9167</v>
      </c>
      <c r="F10" s="528">
        <v>9284</v>
      </c>
      <c r="AW10" s="16">
        <f t="shared" si="0"/>
        <v>9284</v>
      </c>
    </row>
    <row r="11" spans="1:49" s="16" customFormat="1" ht="15" customHeight="1">
      <c r="A11" s="137"/>
      <c r="B11" s="299" t="s">
        <v>124</v>
      </c>
      <c r="C11" s="526"/>
      <c r="D11" s="527"/>
      <c r="E11" s="529">
        <v>30.35</v>
      </c>
      <c r="F11" s="528">
        <v>12211</v>
      </c>
      <c r="AW11" s="16">
        <f t="shared" si="0"/>
        <v>12211</v>
      </c>
    </row>
    <row r="12" spans="1:49" s="16" customFormat="1" ht="15" customHeight="1">
      <c r="A12" s="137"/>
      <c r="B12" s="299" t="s">
        <v>123</v>
      </c>
      <c r="C12" s="526"/>
      <c r="D12" s="527"/>
      <c r="E12" s="529">
        <v>22.6</v>
      </c>
      <c r="F12" s="528">
        <v>9608</v>
      </c>
      <c r="AW12" s="16">
        <f t="shared" si="0"/>
        <v>9608</v>
      </c>
    </row>
    <row r="13" spans="1:49" s="16" customFormat="1" ht="15" customHeight="1">
      <c r="A13" s="137"/>
      <c r="B13" s="299" t="s">
        <v>122</v>
      </c>
      <c r="C13" s="526"/>
      <c r="D13" s="527"/>
      <c r="E13" s="530">
        <v>21.7333</v>
      </c>
      <c r="F13" s="528">
        <v>13892</v>
      </c>
      <c r="AW13" s="16">
        <f t="shared" si="0"/>
        <v>13892</v>
      </c>
    </row>
    <row r="14" spans="1:49" s="16" customFormat="1" ht="15" customHeight="1">
      <c r="A14" s="137"/>
      <c r="B14" s="299" t="s">
        <v>121</v>
      </c>
      <c r="C14" s="526"/>
      <c r="D14" s="527"/>
      <c r="E14" s="529">
        <v>35.7833</v>
      </c>
      <c r="F14" s="528">
        <v>19332</v>
      </c>
      <c r="AW14" s="16">
        <f t="shared" si="0"/>
        <v>19332</v>
      </c>
    </row>
    <row r="15" spans="1:49" s="16" customFormat="1" ht="15" customHeight="1">
      <c r="A15" s="137"/>
      <c r="B15" s="299" t="s">
        <v>120</v>
      </c>
      <c r="C15" s="526"/>
      <c r="D15" s="527"/>
      <c r="E15" s="529">
        <v>22.4333</v>
      </c>
      <c r="F15" s="528">
        <v>18354</v>
      </c>
      <c r="AW15" s="16">
        <f t="shared" si="0"/>
        <v>18354</v>
      </c>
    </row>
    <row r="16" spans="1:49" s="16" customFormat="1" ht="15" customHeight="1">
      <c r="A16" s="137"/>
      <c r="B16" s="299" t="s">
        <v>75</v>
      </c>
      <c r="C16" s="526"/>
      <c r="D16" s="527"/>
      <c r="E16" s="529">
        <v>19.3833</v>
      </c>
      <c r="F16" s="528">
        <v>5014</v>
      </c>
      <c r="AW16" s="16">
        <f t="shared" si="0"/>
        <v>5014</v>
      </c>
    </row>
    <row r="17" spans="1:49" s="16" customFormat="1" ht="15" customHeight="1">
      <c r="A17" s="137"/>
      <c r="B17" s="299" t="s">
        <v>76</v>
      </c>
      <c r="C17" s="526"/>
      <c r="D17" s="527"/>
      <c r="E17" s="529">
        <v>33.6333</v>
      </c>
      <c r="F17" s="528">
        <v>10959</v>
      </c>
      <c r="AW17" s="16">
        <f t="shared" si="0"/>
        <v>10959</v>
      </c>
    </row>
    <row r="18" spans="1:49" s="16" customFormat="1" ht="15" customHeight="1">
      <c r="A18" s="137"/>
      <c r="B18" s="299" t="s">
        <v>77</v>
      </c>
      <c r="C18" s="526"/>
      <c r="D18" s="527"/>
      <c r="E18" s="529">
        <v>17.4333</v>
      </c>
      <c r="F18" s="528">
        <v>8802</v>
      </c>
      <c r="AW18" s="16">
        <f t="shared" si="0"/>
        <v>8802</v>
      </c>
    </row>
    <row r="19" spans="1:49" s="16" customFormat="1" ht="15" customHeight="1">
      <c r="A19" s="137"/>
      <c r="B19" s="299" t="s">
        <v>78</v>
      </c>
      <c r="C19" s="526"/>
      <c r="D19" s="527"/>
      <c r="E19" s="529">
        <v>14.7667</v>
      </c>
      <c r="F19" s="528">
        <v>4098</v>
      </c>
      <c r="AW19" s="16">
        <f>IF(D19&lt;&gt;"Час",F19,0)</f>
        <v>4098</v>
      </c>
    </row>
    <row r="20" spans="1:15" s="113" customFormat="1" ht="15" customHeight="1">
      <c r="A20" s="36"/>
      <c r="B20" s="36"/>
      <c r="C20" s="36"/>
      <c r="D20" s="36"/>
      <c r="E20" s="36"/>
      <c r="F20" s="36"/>
      <c r="G20" s="36"/>
      <c r="H20" s="114"/>
      <c r="I20" s="114"/>
      <c r="J20" s="114"/>
      <c r="K20" s="114"/>
      <c r="L20" s="114"/>
      <c r="M20" s="114"/>
      <c r="N20" s="114"/>
      <c r="O20" s="114"/>
    </row>
    <row r="21" spans="1:15" s="113" customFormat="1" ht="11.25">
      <c r="A21" s="36"/>
      <c r="B21" s="581" t="s">
        <v>207</v>
      </c>
      <c r="C21" s="581"/>
      <c r="D21" s="581"/>
      <c r="E21" s="581"/>
      <c r="F21" s="581"/>
      <c r="G21" s="36"/>
      <c r="H21" s="114"/>
      <c r="I21" s="114"/>
      <c r="J21" s="114"/>
      <c r="K21" s="114"/>
      <c r="L21" s="114"/>
      <c r="M21" s="114"/>
      <c r="N21" s="114"/>
      <c r="O21" s="114"/>
    </row>
    <row r="22" spans="1:15" s="113" customFormat="1" ht="11.25">
      <c r="A22" s="36"/>
      <c r="B22" s="36" t="s">
        <v>208</v>
      </c>
      <c r="C22" s="36"/>
      <c r="D22" s="36"/>
      <c r="E22" s="36"/>
      <c r="F22" s="36"/>
      <c r="G22" s="36"/>
      <c r="H22" s="114"/>
      <c r="I22" s="114"/>
      <c r="J22" s="114"/>
      <c r="K22" s="114"/>
      <c r="L22" s="114"/>
      <c r="M22" s="114"/>
      <c r="N22" s="114"/>
      <c r="O22" s="114"/>
    </row>
    <row r="23" spans="1:15" s="113" customFormat="1" ht="11.25">
      <c r="A23" s="36"/>
      <c r="B23" s="36"/>
      <c r="C23" s="36"/>
      <c r="D23" s="36"/>
      <c r="E23" s="36"/>
      <c r="F23" s="36"/>
      <c r="G23" s="36"/>
      <c r="H23" s="114"/>
      <c r="I23" s="114"/>
      <c r="J23" s="114"/>
      <c r="K23" s="114"/>
      <c r="L23" s="114"/>
      <c r="M23" s="114"/>
      <c r="N23" s="114"/>
      <c r="O23" s="114"/>
    </row>
    <row r="24" spans="1:15" s="6" customFormat="1" ht="11.25">
      <c r="A24" s="9"/>
      <c r="B24" s="9"/>
      <c r="C24" s="9" t="s">
        <v>92</v>
      </c>
      <c r="D24" s="9"/>
      <c r="E24" s="13"/>
      <c r="F24" s="13"/>
      <c r="G24" s="9"/>
      <c r="H24" s="9"/>
      <c r="I24" s="9"/>
      <c r="J24" s="9"/>
      <c r="K24" s="9"/>
      <c r="L24" s="9"/>
      <c r="M24" s="9"/>
      <c r="N24" s="9"/>
      <c r="O24" s="9"/>
    </row>
    <row r="25" spans="1:15" s="6" customFormat="1" ht="11.25">
      <c r="A25" s="9"/>
      <c r="B25" s="9"/>
      <c r="C25" s="10"/>
      <c r="D25" s="10"/>
      <c r="E25" s="13"/>
      <c r="F25" s="13"/>
      <c r="G25" s="9"/>
      <c r="H25" s="9"/>
      <c r="I25" s="9"/>
      <c r="J25" s="9"/>
      <c r="K25" s="9"/>
      <c r="L25" s="9"/>
      <c r="M25" s="9"/>
      <c r="N25" s="9"/>
      <c r="O25" s="9"/>
    </row>
    <row r="26" spans="1:15" s="6" customFormat="1" ht="11.25">
      <c r="A26" s="9"/>
      <c r="B26" s="11"/>
      <c r="C26" s="12"/>
      <c r="D26" s="7"/>
      <c r="E26" s="13"/>
      <c r="F26" s="59" t="str">
        <f>IF(fioRUK="","Руководитель не задан",fioRUK)</f>
        <v>Муравин Алексей Анатольевич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s="6" customFormat="1" ht="11.25">
      <c r="A27" s="9"/>
      <c r="B27" s="579" t="s">
        <v>93</v>
      </c>
      <c r="C27" s="579"/>
      <c r="D27" s="81"/>
      <c r="E27" s="579" t="s">
        <v>94</v>
      </c>
      <c r="F27" s="579"/>
      <c r="G27" s="9"/>
      <c r="H27" s="9"/>
      <c r="I27" s="9"/>
      <c r="J27" s="9"/>
      <c r="K27" s="9"/>
      <c r="L27" s="9"/>
      <c r="M27" s="9"/>
      <c r="N27" s="9"/>
      <c r="O27" s="9"/>
    </row>
    <row r="28" spans="1:15" s="6" customFormat="1" ht="11.25">
      <c r="A28" s="9"/>
      <c r="B28" s="61" t="str">
        <f>IF(doljnDL="","Должность не задана",doljnDL)</f>
        <v>и.о. заместителя генерального директора по реализации услуг</v>
      </c>
      <c r="C28" s="12"/>
      <c r="D28" s="7"/>
      <c r="E28" s="13"/>
      <c r="F28" s="59" t="str">
        <f>IF(fioDL="","Должностное лицо не задано",fioDL)</f>
        <v>Смышляева Елена Николаевна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s="6" customFormat="1" ht="11.25">
      <c r="A29" s="9"/>
      <c r="B29" s="579" t="s">
        <v>95</v>
      </c>
      <c r="C29" s="579"/>
      <c r="D29" s="81"/>
      <c r="E29" s="579" t="s">
        <v>94</v>
      </c>
      <c r="F29" s="579"/>
      <c r="G29" s="9"/>
      <c r="H29" s="9"/>
      <c r="I29" s="9"/>
      <c r="J29" s="9"/>
      <c r="K29" s="9"/>
      <c r="L29" s="9"/>
      <c r="M29" s="9"/>
      <c r="N29" s="9"/>
      <c r="O29" s="9"/>
    </row>
    <row r="30" spans="1:15" s="6" customFormat="1" ht="11.25">
      <c r="A30" s="9"/>
      <c r="B30" s="65" t="str">
        <f>IF(DL_Tel&lt;&gt;"","Телефон: "&amp;DL_Tel&amp;", ","")&amp;IF(DL_email&lt;&gt;"","e-mail: "&amp;DL_email,"")</f>
        <v>Телефон: (88162)680112, e-mail: smen@nokes.natm.ru</v>
      </c>
      <c r="C30" s="7"/>
      <c r="D30" s="7"/>
      <c r="E30" s="64"/>
      <c r="F30" s="64"/>
      <c r="G30" s="9"/>
      <c r="H30" s="9"/>
      <c r="I30" s="9"/>
      <c r="J30" s="9"/>
      <c r="K30" s="9"/>
      <c r="L30" s="9"/>
      <c r="M30" s="9"/>
      <c r="N30" s="9"/>
      <c r="O30" s="9"/>
    </row>
    <row r="31" spans="1:15" s="6" customFormat="1" ht="11.25">
      <c r="A31" s="9"/>
      <c r="B31" s="579" t="s">
        <v>96</v>
      </c>
      <c r="C31" s="579"/>
      <c r="D31" s="60"/>
      <c r="E31" s="13"/>
      <c r="F31" s="13"/>
      <c r="G31" s="9"/>
      <c r="H31" s="9"/>
      <c r="I31" s="9"/>
      <c r="J31" s="9"/>
      <c r="K31" s="9"/>
      <c r="L31" s="9"/>
      <c r="M31" s="9"/>
      <c r="N31" s="9"/>
      <c r="O31" s="9"/>
    </row>
    <row r="32" spans="1:15" ht="11.25">
      <c r="A32" s="52"/>
      <c r="B32" s="52"/>
      <c r="C32" s="52"/>
      <c r="D32" s="52"/>
      <c r="E32" s="52"/>
      <c r="F32" s="52"/>
      <c r="G32" s="52"/>
      <c r="H32" s="73"/>
      <c r="I32" s="73"/>
      <c r="J32" s="73"/>
      <c r="K32" s="73"/>
      <c r="L32" s="73"/>
      <c r="M32" s="73"/>
      <c r="N32" s="73"/>
      <c r="O32" s="73"/>
    </row>
    <row r="33" spans="1:15" ht="11.25">
      <c r="A33" s="72"/>
      <c r="B33" s="72"/>
      <c r="C33" s="72"/>
      <c r="D33" s="72"/>
      <c r="E33" s="72"/>
      <c r="F33" s="72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1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5" customHeight="1">
      <c r="A35" s="52"/>
      <c r="B35" s="52"/>
      <c r="C35" s="71"/>
      <c r="D35" s="71"/>
      <c r="E35" s="52"/>
      <c r="F35" s="17"/>
      <c r="G35" s="52"/>
      <c r="H35" s="73"/>
      <c r="I35" s="73"/>
      <c r="J35" s="73"/>
      <c r="K35" s="73"/>
      <c r="L35" s="73"/>
      <c r="M35" s="73"/>
      <c r="N35" s="73"/>
      <c r="O35" s="73"/>
    </row>
    <row r="36" spans="1:15" ht="11.25">
      <c r="A36" s="51"/>
      <c r="B36" s="584" t="s">
        <v>111</v>
      </c>
      <c r="C36" s="585"/>
      <c r="D36" s="585"/>
      <c r="E36" s="585"/>
      <c r="F36" s="585"/>
      <c r="G36" s="66"/>
      <c r="H36" s="73"/>
      <c r="I36" s="73"/>
      <c r="J36" s="73"/>
      <c r="K36" s="73"/>
      <c r="L36" s="73"/>
      <c r="M36" s="73"/>
      <c r="N36" s="73"/>
      <c r="O36" s="73"/>
    </row>
    <row r="37" spans="1:15" ht="16.5" customHeight="1">
      <c r="A37" s="51"/>
      <c r="B37" s="587" t="str">
        <f>IF(org&lt;&gt;"",org,"Организация не определена")</f>
        <v>ОАО "Новгородоблэлектро"</v>
      </c>
      <c r="C37" s="587"/>
      <c r="D37" s="587"/>
      <c r="E37" s="587"/>
      <c r="F37" s="587"/>
      <c r="G37" s="66"/>
      <c r="H37" s="73"/>
      <c r="I37" s="73"/>
      <c r="J37" s="73"/>
      <c r="K37" s="73"/>
      <c r="L37" s="73"/>
      <c r="M37" s="73"/>
      <c r="N37" s="73"/>
      <c r="O37" s="73"/>
    </row>
    <row r="38" spans="1:15" ht="16.5" customHeight="1">
      <c r="A38" s="51"/>
      <c r="B38" s="531"/>
      <c r="C38" s="531"/>
      <c r="D38" s="531"/>
      <c r="E38" s="531"/>
      <c r="F38" s="534" t="s">
        <v>338</v>
      </c>
      <c r="G38" s="66"/>
      <c r="H38" s="73"/>
      <c r="I38" s="73"/>
      <c r="J38" s="73"/>
      <c r="K38" s="73"/>
      <c r="L38" s="73"/>
      <c r="M38" s="73"/>
      <c r="N38" s="73"/>
      <c r="O38" s="73"/>
    </row>
    <row r="39" spans="1:15" ht="24" customHeight="1">
      <c r="A39" s="26"/>
      <c r="B39" s="211" t="s">
        <v>91</v>
      </c>
      <c r="C39" s="582" t="s">
        <v>110</v>
      </c>
      <c r="D39" s="582"/>
      <c r="E39" s="582"/>
      <c r="F39" s="212" t="s">
        <v>209</v>
      </c>
      <c r="G39" s="26"/>
      <c r="H39" s="73"/>
      <c r="I39" s="73"/>
      <c r="J39" s="73"/>
      <c r="K39" s="73"/>
      <c r="L39" s="73"/>
      <c r="M39" s="73"/>
      <c r="N39" s="73"/>
      <c r="O39" s="73"/>
    </row>
    <row r="40" spans="1:15" ht="11.25">
      <c r="A40" s="26"/>
      <c r="B40" s="213">
        <v>1</v>
      </c>
      <c r="C40" s="583">
        <v>2</v>
      </c>
      <c r="D40" s="583"/>
      <c r="E40" s="583"/>
      <c r="F40" s="213">
        <v>3</v>
      </c>
      <c r="G40" s="26"/>
      <c r="H40" s="73"/>
      <c r="I40" s="73"/>
      <c r="J40" s="73"/>
      <c r="K40" s="73"/>
      <c r="L40" s="73"/>
      <c r="M40" s="73"/>
      <c r="N40" s="73"/>
      <c r="O40" s="73"/>
    </row>
    <row r="41" spans="1:15" ht="27.75" customHeight="1">
      <c r="A41" s="26"/>
      <c r="B41" s="299" t="s">
        <v>84</v>
      </c>
      <c r="C41" s="580" t="s">
        <v>201</v>
      </c>
      <c r="D41" s="580"/>
      <c r="E41" s="580"/>
      <c r="F41" s="307">
        <f>MAX(F8:F19)</f>
        <v>19332</v>
      </c>
      <c r="G41" s="26"/>
      <c r="H41" s="73"/>
      <c r="I41" s="73"/>
      <c r="J41" s="73"/>
      <c r="K41" s="73"/>
      <c r="L41" s="73"/>
      <c r="M41" s="73"/>
      <c r="N41" s="73"/>
      <c r="O41" s="73"/>
    </row>
    <row r="42" spans="1:15" ht="27.75" customHeight="1">
      <c r="A42" s="26"/>
      <c r="B42" s="299" t="s">
        <v>80</v>
      </c>
      <c r="C42" s="580" t="s">
        <v>109</v>
      </c>
      <c r="D42" s="580"/>
      <c r="E42" s="580"/>
      <c r="F42" s="307">
        <f>SUM(E8:E19)</f>
        <v>280.0832</v>
      </c>
      <c r="G42" s="26"/>
      <c r="H42" s="73"/>
      <c r="I42" s="73"/>
      <c r="J42" s="73"/>
      <c r="K42" s="73"/>
      <c r="L42" s="73"/>
      <c r="M42" s="73"/>
      <c r="N42" s="73"/>
      <c r="O42" s="73"/>
    </row>
    <row r="43" spans="1:15" ht="27.75" customHeight="1">
      <c r="A43" s="26"/>
      <c r="B43" s="299" t="s">
        <v>81</v>
      </c>
      <c r="C43" s="580" t="s">
        <v>108</v>
      </c>
      <c r="D43" s="580"/>
      <c r="E43" s="580"/>
      <c r="F43" s="318">
        <f>IF(F41=0,"Нет присоединений",F42/F41)</f>
        <v>0.014488061245603144</v>
      </c>
      <c r="G43" s="26"/>
      <c r="H43" s="73"/>
      <c r="I43" s="73"/>
      <c r="J43" s="73"/>
      <c r="K43" s="73"/>
      <c r="L43" s="73"/>
      <c r="M43" s="73"/>
      <c r="N43" s="73"/>
      <c r="O43" s="73"/>
    </row>
    <row r="44" spans="1:15" ht="11.25">
      <c r="A44" s="52"/>
      <c r="B44" s="50"/>
      <c r="C44" s="21"/>
      <c r="D44" s="21"/>
      <c r="E44" s="21"/>
      <c r="F44" s="21"/>
      <c r="G44" s="52"/>
      <c r="H44" s="73"/>
      <c r="I44" s="73"/>
      <c r="J44" s="73"/>
      <c r="K44" s="73"/>
      <c r="L44" s="73"/>
      <c r="M44" s="73"/>
      <c r="N44" s="73"/>
      <c r="O44" s="73"/>
    </row>
    <row r="45" spans="1:15" ht="11.25">
      <c r="A45" s="9"/>
      <c r="B45" s="9"/>
      <c r="C45" s="9" t="s">
        <v>92</v>
      </c>
      <c r="D45" s="9"/>
      <c r="E45" s="13"/>
      <c r="F45" s="13"/>
      <c r="G45" s="13"/>
      <c r="H45" s="73"/>
      <c r="I45" s="73"/>
      <c r="J45" s="73"/>
      <c r="K45" s="73"/>
      <c r="L45" s="73"/>
      <c r="M45" s="73"/>
      <c r="N45" s="73"/>
      <c r="O45" s="73"/>
    </row>
    <row r="46" spans="1:15" ht="11.25">
      <c r="A46" s="9"/>
      <c r="B46" s="9"/>
      <c r="C46" s="10"/>
      <c r="D46" s="10"/>
      <c r="E46" s="13"/>
      <c r="F46" s="13"/>
      <c r="G46" s="13"/>
      <c r="H46" s="73"/>
      <c r="I46" s="73"/>
      <c r="J46" s="73"/>
      <c r="K46" s="73"/>
      <c r="L46" s="73"/>
      <c r="M46" s="73"/>
      <c r="N46" s="73"/>
      <c r="O46" s="73"/>
    </row>
    <row r="47" spans="1:15" ht="11.25">
      <c r="A47" s="9"/>
      <c r="B47" s="11"/>
      <c r="C47" s="12"/>
      <c r="D47" s="7"/>
      <c r="E47" s="13"/>
      <c r="F47" s="59" t="str">
        <f>IF(fioRUK="","Руководитель не задан",fioRUK)</f>
        <v>Муравин Алексей Анатольевич</v>
      </c>
      <c r="G47" s="13"/>
      <c r="H47" s="73"/>
      <c r="I47" s="73"/>
      <c r="J47" s="73"/>
      <c r="K47" s="73"/>
      <c r="L47" s="73"/>
      <c r="M47" s="73"/>
      <c r="N47" s="73"/>
      <c r="O47" s="73"/>
    </row>
    <row r="48" spans="1:15" ht="11.25" customHeight="1">
      <c r="A48" s="9"/>
      <c r="B48" s="579" t="s">
        <v>93</v>
      </c>
      <c r="C48" s="579"/>
      <c r="D48" s="81"/>
      <c r="E48" s="579" t="s">
        <v>94</v>
      </c>
      <c r="F48" s="579"/>
      <c r="G48" s="13"/>
      <c r="H48" s="73"/>
      <c r="I48" s="73"/>
      <c r="J48" s="73"/>
      <c r="K48" s="73"/>
      <c r="L48" s="73"/>
      <c r="M48" s="73"/>
      <c r="N48" s="73"/>
      <c r="O48" s="73"/>
    </row>
    <row r="49" spans="1:15" ht="11.25">
      <c r="A49" s="9"/>
      <c r="B49" s="61" t="str">
        <f>IF(doljnDL="","Должность не задана",doljnDL)</f>
        <v>и.о. заместителя генерального директора по реализации услуг</v>
      </c>
      <c r="C49" s="12"/>
      <c r="D49" s="7"/>
      <c r="E49" s="13"/>
      <c r="F49" s="59" t="str">
        <f>IF(fioDL="","Должностное лицо не задано",fioDL)</f>
        <v>Смышляева Елена Николаевна</v>
      </c>
      <c r="G49" s="13"/>
      <c r="H49" s="73"/>
      <c r="I49" s="73"/>
      <c r="J49" s="73"/>
      <c r="K49" s="73"/>
      <c r="L49" s="73"/>
      <c r="M49" s="73"/>
      <c r="N49" s="73"/>
      <c r="O49" s="73"/>
    </row>
    <row r="50" spans="1:15" ht="11.25" customHeight="1">
      <c r="A50" s="9"/>
      <c r="B50" s="579" t="s">
        <v>95</v>
      </c>
      <c r="C50" s="579"/>
      <c r="D50" s="81"/>
      <c r="E50" s="579" t="s">
        <v>94</v>
      </c>
      <c r="F50" s="579"/>
      <c r="G50" s="13"/>
      <c r="H50" s="73"/>
      <c r="I50" s="73"/>
      <c r="J50" s="73"/>
      <c r="K50" s="73"/>
      <c r="L50" s="73"/>
      <c r="M50" s="73"/>
      <c r="N50" s="73"/>
      <c r="O50" s="73"/>
    </row>
    <row r="51" spans="1:15" ht="11.25">
      <c r="A51" s="9"/>
      <c r="B51" s="65" t="str">
        <f>IF(DL_Tel&lt;&gt;"","Телефон: "&amp;DL_Tel&amp;", ","")&amp;IF(DL_email&lt;&gt;"","e-mail: "&amp;DL_email,"")</f>
        <v>Телефон: (88162)680112, e-mail: smen@nokes.natm.ru</v>
      </c>
      <c r="C51" s="7"/>
      <c r="D51" s="7"/>
      <c r="E51" s="64"/>
      <c r="F51" s="64"/>
      <c r="G51" s="13"/>
      <c r="H51" s="73"/>
      <c r="I51" s="73"/>
      <c r="J51" s="73"/>
      <c r="K51" s="73"/>
      <c r="L51" s="73"/>
      <c r="M51" s="73"/>
      <c r="N51" s="73"/>
      <c r="O51" s="73"/>
    </row>
    <row r="52" spans="1:15" ht="11.25" customHeight="1">
      <c r="A52" s="9"/>
      <c r="B52" s="579" t="s">
        <v>96</v>
      </c>
      <c r="C52" s="579"/>
      <c r="D52" s="60"/>
      <c r="E52" s="13"/>
      <c r="F52" s="13"/>
      <c r="G52" s="13"/>
      <c r="H52" s="73"/>
      <c r="I52" s="73"/>
      <c r="J52" s="73"/>
      <c r="K52" s="73"/>
      <c r="L52" s="73"/>
      <c r="M52" s="73"/>
      <c r="N52" s="73"/>
      <c r="O52" s="73"/>
    </row>
    <row r="53" spans="1:15" ht="11.25">
      <c r="A53" s="52"/>
      <c r="B53" s="52"/>
      <c r="C53" s="52"/>
      <c r="D53" s="52"/>
      <c r="E53" s="52"/>
      <c r="F53" s="52"/>
      <c r="G53" s="52"/>
      <c r="H53" s="73"/>
      <c r="I53" s="73"/>
      <c r="J53" s="73"/>
      <c r="K53" s="73"/>
      <c r="L53" s="73"/>
      <c r="M53" s="73"/>
      <c r="N53" s="73"/>
      <c r="O53" s="73"/>
    </row>
    <row r="54" spans="1:15" ht="11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8:15" ht="11.25">
      <c r="H55" s="73"/>
      <c r="I55" s="73"/>
      <c r="J55" s="73"/>
      <c r="K55" s="73"/>
      <c r="L55" s="73"/>
      <c r="M55" s="73"/>
      <c r="N55" s="73"/>
      <c r="O55" s="73"/>
    </row>
    <row r="56" spans="8:15" ht="11.25">
      <c r="H56" s="73"/>
      <c r="I56" s="73"/>
      <c r="J56" s="73"/>
      <c r="K56" s="73"/>
      <c r="L56" s="73"/>
      <c r="M56" s="73"/>
      <c r="N56" s="73"/>
      <c r="O56" s="73"/>
    </row>
    <row r="57" spans="8:15" ht="11.25">
      <c r="H57" s="73"/>
      <c r="I57" s="73"/>
      <c r="J57" s="73"/>
      <c r="K57" s="73"/>
      <c r="L57" s="73"/>
      <c r="M57" s="73"/>
      <c r="N57" s="73"/>
      <c r="O57" s="73"/>
    </row>
    <row r="58" spans="8:15" ht="11.25">
      <c r="H58" s="73"/>
      <c r="I58" s="73"/>
      <c r="J58" s="73"/>
      <c r="K58" s="73"/>
      <c r="L58" s="73"/>
      <c r="M58" s="73"/>
      <c r="N58" s="73"/>
      <c r="O58" s="73"/>
    </row>
    <row r="59" spans="8:15" ht="11.25">
      <c r="H59" s="73"/>
      <c r="I59" s="73"/>
      <c r="J59" s="73"/>
      <c r="K59" s="73"/>
      <c r="L59" s="73"/>
      <c r="M59" s="73"/>
      <c r="N59" s="73"/>
      <c r="O59" s="73"/>
    </row>
    <row r="60" spans="8:15" ht="11.25">
      <c r="H60" s="73"/>
      <c r="I60" s="73"/>
      <c r="J60" s="73"/>
      <c r="K60" s="73"/>
      <c r="L60" s="73"/>
      <c r="M60" s="73"/>
      <c r="N60" s="73"/>
      <c r="O60" s="73"/>
    </row>
    <row r="61" spans="8:15" ht="11.25">
      <c r="H61" s="73"/>
      <c r="I61" s="73"/>
      <c r="J61" s="73"/>
      <c r="K61" s="73"/>
      <c r="L61" s="73"/>
      <c r="M61" s="73"/>
      <c r="N61" s="73"/>
      <c r="O61" s="73"/>
    </row>
    <row r="62" spans="8:15" ht="11.25">
      <c r="H62" s="73"/>
      <c r="I62" s="73"/>
      <c r="J62" s="73"/>
      <c r="K62" s="73"/>
      <c r="L62" s="73"/>
      <c r="M62" s="73"/>
      <c r="N62" s="73"/>
      <c r="O62" s="73"/>
    </row>
    <row r="63" spans="8:15" ht="11.25">
      <c r="H63" s="73"/>
      <c r="I63" s="73"/>
      <c r="J63" s="73"/>
      <c r="K63" s="73"/>
      <c r="L63" s="73"/>
      <c r="M63" s="73"/>
      <c r="N63" s="73"/>
      <c r="O63" s="73"/>
    </row>
    <row r="64" spans="8:15" ht="11.25">
      <c r="H64" s="73"/>
      <c r="I64" s="73"/>
      <c r="J64" s="73"/>
      <c r="K64" s="73"/>
      <c r="L64" s="73"/>
      <c r="M64" s="73"/>
      <c r="N64" s="73"/>
      <c r="O64" s="73"/>
    </row>
    <row r="65" spans="8:15" ht="11.25">
      <c r="H65" s="73"/>
      <c r="I65" s="73"/>
      <c r="J65" s="73"/>
      <c r="K65" s="73"/>
      <c r="L65" s="73"/>
      <c r="M65" s="73"/>
      <c r="N65" s="73"/>
      <c r="O65" s="73"/>
    </row>
    <row r="66" spans="8:15" ht="11.25">
      <c r="H66" s="73"/>
      <c r="I66" s="73"/>
      <c r="J66" s="73"/>
      <c r="K66" s="73"/>
      <c r="L66" s="73"/>
      <c r="M66" s="73"/>
      <c r="N66" s="73"/>
      <c r="O66" s="73"/>
    </row>
    <row r="67" spans="8:15" ht="11.25">
      <c r="H67" s="73"/>
      <c r="I67" s="73"/>
      <c r="J67" s="73"/>
      <c r="K67" s="73"/>
      <c r="L67" s="73"/>
      <c r="M67" s="73"/>
      <c r="N67" s="73"/>
      <c r="O67" s="73"/>
    </row>
  </sheetData>
  <sheetProtection formatColumns="0" formatRows="0"/>
  <mergeCells count="25">
    <mergeCell ref="D5:D6"/>
    <mergeCell ref="B27:C27"/>
    <mergeCell ref="B37:F37"/>
    <mergeCell ref="B2:F2"/>
    <mergeCell ref="B3:F3"/>
    <mergeCell ref="B5:B6"/>
    <mergeCell ref="E5:E6"/>
    <mergeCell ref="F5:F6"/>
    <mergeCell ref="E27:F27"/>
    <mergeCell ref="C5:C6"/>
    <mergeCell ref="B21:F21"/>
    <mergeCell ref="C39:E39"/>
    <mergeCell ref="C40:E40"/>
    <mergeCell ref="B36:F36"/>
    <mergeCell ref="E29:F29"/>
    <mergeCell ref="B29:C29"/>
    <mergeCell ref="B31:C31"/>
    <mergeCell ref="B52:C52"/>
    <mergeCell ref="C41:E41"/>
    <mergeCell ref="C42:E42"/>
    <mergeCell ref="C43:E43"/>
    <mergeCell ref="B48:C48"/>
    <mergeCell ref="E48:F48"/>
    <mergeCell ref="B50:C50"/>
    <mergeCell ref="E50:F50"/>
  </mergeCells>
  <dataValidations count="3">
    <dataValidation type="whole" allowBlank="1" showErrorMessage="1" errorTitle="Ошибка" error="Допускается ввод только неотрицательных целых чисел!" sqref="F8:F1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19 E8:E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8:C19">
      <formula1>900</formula1>
    </dataValidation>
  </dataValidations>
  <printOptions/>
  <pageMargins left="0.8661417322834646" right="0.5905511811023623" top="0.472440944881889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AI26"/>
  <sheetViews>
    <sheetView showGridLines="0" zoomScaleSheetLayoutView="100" zoomScalePageLayoutView="0" workbookViewId="0" topLeftCell="F7">
      <selection activeCell="H30" sqref="H30"/>
    </sheetView>
  </sheetViews>
  <sheetFormatPr defaultColWidth="0.85546875" defaultRowHeight="11.25"/>
  <cols>
    <col min="1" max="5" width="0" style="15" hidden="1" customWidth="1"/>
    <col min="6" max="6" width="3.7109375" style="15" customWidth="1"/>
    <col min="7" max="7" width="8.7109375" style="15" customWidth="1"/>
    <col min="8" max="8" width="46.140625" style="15" customWidth="1"/>
    <col min="9" max="9" width="22.8515625" style="15" customWidth="1"/>
    <col min="10" max="10" width="23.140625" style="15" customWidth="1"/>
    <col min="11" max="12" width="15.7109375" style="15" customWidth="1"/>
    <col min="13" max="13" width="17.7109375" style="15" customWidth="1"/>
    <col min="14" max="14" width="15.7109375" style="15" hidden="1" customWidth="1"/>
    <col min="15" max="15" width="15.57421875" style="15" hidden="1" customWidth="1"/>
    <col min="16" max="16" width="0.13671875" style="15" customWidth="1"/>
    <col min="17" max="17" width="4.57421875" style="15" customWidth="1"/>
    <col min="18" max="18" width="3.7109375" style="73" customWidth="1"/>
    <col min="19" max="16384" width="0.85546875" style="15" customWidth="1"/>
  </cols>
  <sheetData>
    <row r="1" spans="6:35" ht="11.25" hidden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5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6:35" ht="11.25" hidden="1"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6:35" ht="11.25" hidden="1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5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6:35" ht="11.25" hidden="1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5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6:35" ht="11.25" hidden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6:35" ht="11.25" hidden="1"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5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8:16" s="110" customFormat="1" ht="6.75" customHeight="1">
      <c r="H7" s="342"/>
      <c r="I7" s="50"/>
      <c r="J7" s="343"/>
      <c r="P7" s="17"/>
    </row>
    <row r="8" spans="6:35" s="16" customFormat="1" ht="24" customHeight="1">
      <c r="F8" s="26"/>
      <c r="G8" s="592" t="s">
        <v>117</v>
      </c>
      <c r="H8" s="593"/>
      <c r="I8" s="593"/>
      <c r="J8" s="593"/>
      <c r="K8" s="593"/>
      <c r="L8" s="593"/>
      <c r="M8" s="593"/>
      <c r="N8" s="593"/>
      <c r="O8" s="593"/>
      <c r="P8" s="594"/>
      <c r="Q8" s="112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6:35" s="16" customFormat="1" ht="15" customHeight="1">
      <c r="F9" s="26"/>
      <c r="G9" s="595" t="str">
        <f>IF(org&lt;&gt;"",org,"Организация не определена")</f>
        <v>ОАО "Новгородоблэлектро"</v>
      </c>
      <c r="H9" s="596"/>
      <c r="I9" s="596"/>
      <c r="J9" s="596"/>
      <c r="K9" s="594"/>
      <c r="L9" s="594"/>
      <c r="M9" s="594"/>
      <c r="N9" s="594"/>
      <c r="O9" s="594"/>
      <c r="P9" s="596"/>
      <c r="Q9" s="112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6:35" s="19" customFormat="1" ht="19.5" customHeight="1">
      <c r="F10" s="53"/>
      <c r="G10" s="582" t="s">
        <v>91</v>
      </c>
      <c r="H10" s="582" t="s">
        <v>110</v>
      </c>
      <c r="I10" s="582" t="s">
        <v>1</v>
      </c>
      <c r="J10" s="599" t="s">
        <v>116</v>
      </c>
      <c r="K10" s="582" t="s">
        <v>268</v>
      </c>
      <c r="L10" s="598"/>
      <c r="M10" s="598"/>
      <c r="N10" s="598"/>
      <c r="O10" s="598"/>
      <c r="P10" s="309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6:35" s="19" customFormat="1" ht="21" customHeight="1">
      <c r="F11" s="53"/>
      <c r="G11" s="597"/>
      <c r="H11" s="597"/>
      <c r="I11" s="582"/>
      <c r="J11" s="597"/>
      <c r="K11" s="222" t="str">
        <f>IF(prd&lt;&gt;"",prd-1&amp;" год","Не определено")</f>
        <v>2013 год</v>
      </c>
      <c r="L11" s="222" t="str">
        <f>IF(prd&lt;&gt;"",prd&amp;" год","Не определено")</f>
        <v>2014 год</v>
      </c>
      <c r="M11" s="222" t="str">
        <f>IF(prd&lt;&gt;"",prd+1&amp;" год","Не определено")</f>
        <v>2015 год</v>
      </c>
      <c r="N11" s="222" t="str">
        <f>IF(prd&lt;&gt;"",prd+2&amp;" год","Не определено")</f>
        <v>2016 год</v>
      </c>
      <c r="O11" s="222" t="str">
        <f>IF(prd&lt;&gt;"",prd+3&amp;" год","Не определено")</f>
        <v>2017 год</v>
      </c>
      <c r="P11" s="310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6:35" s="19" customFormat="1" ht="12" thickBot="1">
      <c r="F12" s="53"/>
      <c r="G12" s="213">
        <v>1</v>
      </c>
      <c r="H12" s="213">
        <v>2</v>
      </c>
      <c r="I12" s="213">
        <v>3</v>
      </c>
      <c r="J12" s="213">
        <v>4</v>
      </c>
      <c r="K12" s="213">
        <v>5</v>
      </c>
      <c r="L12" s="213">
        <v>6</v>
      </c>
      <c r="M12" s="213">
        <v>7</v>
      </c>
      <c r="N12" s="213">
        <v>8</v>
      </c>
      <c r="O12" s="213">
        <v>9</v>
      </c>
      <c r="P12" s="31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6:35" s="18" customFormat="1" ht="33.75">
      <c r="F13" s="54"/>
      <c r="G13" s="299" t="s">
        <v>84</v>
      </c>
      <c r="H13" s="215" t="s">
        <v>115</v>
      </c>
      <c r="I13" s="321"/>
      <c r="J13" s="321"/>
      <c r="K13" s="522">
        <v>0.4</v>
      </c>
      <c r="L13" s="522">
        <v>0.38</v>
      </c>
      <c r="M13" s="522">
        <v>0.0028</v>
      </c>
      <c r="N13" s="433"/>
      <c r="O13" s="433"/>
      <c r="P13" s="312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6:35" s="18" customFormat="1" ht="22.5">
      <c r="F14" s="54"/>
      <c r="G14" s="299" t="s">
        <v>80</v>
      </c>
      <c r="H14" s="215" t="s">
        <v>227</v>
      </c>
      <c r="I14" s="321"/>
      <c r="J14" s="321"/>
      <c r="K14" s="522"/>
      <c r="L14" s="522">
        <v>1.85</v>
      </c>
      <c r="M14" s="522">
        <v>1.6007</v>
      </c>
      <c r="N14" s="433"/>
      <c r="O14" s="433"/>
      <c r="P14" s="31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6:35" s="18" customFormat="1" ht="34.5" thickBot="1">
      <c r="F15" s="54"/>
      <c r="G15" s="299" t="s">
        <v>81</v>
      </c>
      <c r="H15" s="215" t="s">
        <v>226</v>
      </c>
      <c r="I15" s="321"/>
      <c r="J15" s="321"/>
      <c r="K15" s="221">
        <v>1.0102</v>
      </c>
      <c r="L15" s="221">
        <v>0.8975</v>
      </c>
      <c r="M15" s="221">
        <v>0.8975</v>
      </c>
      <c r="N15" s="265"/>
      <c r="O15" s="265"/>
      <c r="P15" s="31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6:35" ht="15" customHeight="1"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6:35" ht="11.25">
      <c r="F17" s="52"/>
      <c r="G17" s="52"/>
      <c r="H17" s="55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6:35" s="6" customFormat="1" ht="15" customHeight="1">
      <c r="F18" s="9"/>
      <c r="G18" s="9"/>
      <c r="H18" s="9" t="s">
        <v>92</v>
      </c>
      <c r="I18" s="10"/>
      <c r="J18" s="13"/>
      <c r="K18" s="13"/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6:35" s="6" customFormat="1" ht="11.25">
      <c r="F19" s="9"/>
      <c r="G19" s="9"/>
      <c r="H19" s="10"/>
      <c r="I19" s="10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6:35" s="6" customFormat="1" ht="26.25" customHeight="1">
      <c r="F20" s="9"/>
      <c r="G20" s="11"/>
      <c r="H20" s="12"/>
      <c r="I20" s="12"/>
      <c r="J20" s="58" t="str">
        <f>IF(fioRUK="","Руководитель не задан",fioRUK)</f>
        <v>Муравин Алексей Анатольевич</v>
      </c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6:35" s="6" customFormat="1" ht="11.25">
      <c r="F21" s="9"/>
      <c r="G21" s="579" t="s">
        <v>93</v>
      </c>
      <c r="H21" s="579"/>
      <c r="I21" s="579" t="s">
        <v>94</v>
      </c>
      <c r="J21" s="579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6:35" s="6" customFormat="1" ht="15" customHeight="1">
      <c r="F22" s="9"/>
      <c r="G22" s="61" t="str">
        <f>IF(doljnDL="","Должность не задана",doljnDL)</f>
        <v>и.о. заместителя генерального директора по реализации услуг</v>
      </c>
      <c r="H22" s="12"/>
      <c r="I22" s="12"/>
      <c r="J22" s="59" t="str">
        <f>IF(fioDL="","Должностное лицо не задано",fioDL)</f>
        <v>Смышляева Елена Николаевна</v>
      </c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6:35" s="6" customFormat="1" ht="11.25">
      <c r="F23" s="9"/>
      <c r="G23" s="579" t="s">
        <v>95</v>
      </c>
      <c r="H23" s="579"/>
      <c r="I23" s="579" t="s">
        <v>94</v>
      </c>
      <c r="J23" s="579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6:35" s="6" customFormat="1" ht="11.25">
      <c r="F24" s="9"/>
      <c r="G24" s="65" t="str">
        <f>IF(DL_Tel&lt;&gt;"","Телефон: "&amp;DL_Tel&amp;", ","")&amp;IF(DL_email&lt;&gt;"","e-mail: "&amp;DL_email,"")</f>
        <v>Телефон: (88162)680112, e-mail: smen@nokes.natm.ru</v>
      </c>
      <c r="H24" s="7"/>
      <c r="I24" s="7"/>
      <c r="J24" s="8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6:35" s="6" customFormat="1" ht="11.25" customHeight="1">
      <c r="F25" s="9"/>
      <c r="G25" s="579" t="s">
        <v>96</v>
      </c>
      <c r="H25" s="579"/>
      <c r="I25" s="99"/>
      <c r="J25" s="99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6:35" ht="11.25"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="73" customFormat="1" ht="11.25"/>
  </sheetData>
  <sheetProtection formatColumns="0" formatRows="0"/>
  <mergeCells count="12">
    <mergeCell ref="G21:H21"/>
    <mergeCell ref="I21:J21"/>
    <mergeCell ref="G23:H23"/>
    <mergeCell ref="I23:J23"/>
    <mergeCell ref="G8:P8"/>
    <mergeCell ref="G9:P9"/>
    <mergeCell ref="G25:H25"/>
    <mergeCell ref="H10:H11"/>
    <mergeCell ref="G10:G11"/>
    <mergeCell ref="K10:O10"/>
    <mergeCell ref="J10:J11"/>
    <mergeCell ref="I10:I11"/>
  </mergeCells>
  <conditionalFormatting sqref="I13:P15">
    <cfRule type="cellIs" priority="7" dxfId="3" operator="equal" stopIfTrue="1">
      <formula>""""""</formula>
    </cfRule>
    <cfRule type="cellIs" priority="8" dxfId="3" operator="between" stopIfTrue="1">
      <formula>""""""</formula>
      <formula>""""""</formula>
    </cfRule>
    <cfRule type="cellIs" priority="9" dxfId="3" operator="equal" stopIfTrue="1">
      <formula>""""""</formula>
    </cfRule>
  </conditionalFormatting>
  <dataValidations count="9">
    <dataValidation type="textLength" operator="lessThanOrEqual" allowBlank="1" showInputMessage="1" showErrorMessage="1" errorTitle="Ошибка" error="Допускается ввод не более 900 символов!" sqref="I13:J15">
      <formula1>900</formula1>
    </dataValidation>
    <dataValidation type="decimal" allowBlank="1" showErrorMessage="1" errorTitle="Ошибка" error="Допускается ввод только неотрицательных чисел!" sqref="N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13:K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3:L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M13:M14">
      <formula1>0</formula1>
      <formula2>9.99999999999999E+23</formula2>
    </dataValidation>
  </dataValidations>
  <printOptions/>
  <pageMargins left="0.5905511811023623" right="0.5118110236220472" top="0.55" bottom="0.3937007874015748" header="0.1968503937007874" footer="0.196850393700787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46" sqref="C46"/>
    </sheetView>
  </sheetViews>
  <sheetFormatPr defaultColWidth="9.140625" defaultRowHeight="11.25"/>
  <cols>
    <col min="3" max="3" width="50.57421875" style="0" customWidth="1"/>
    <col min="4" max="4" width="30.8515625" style="0" customWidth="1"/>
  </cols>
  <sheetData>
    <row r="1" spans="1:4" ht="11.25">
      <c r="A1" s="52"/>
      <c r="B1" s="71"/>
      <c r="C1" s="71"/>
      <c r="D1" s="17" t="s">
        <v>363</v>
      </c>
    </row>
    <row r="2" spans="1:4" ht="11.25" customHeight="1">
      <c r="A2" s="600" t="s">
        <v>364</v>
      </c>
      <c r="B2" s="600"/>
      <c r="C2" s="600"/>
      <c r="D2" s="600"/>
    </row>
    <row r="3" spans="1:4" ht="11.25" customHeight="1">
      <c r="A3" s="536" t="s">
        <v>91</v>
      </c>
      <c r="B3" s="601" t="s">
        <v>365</v>
      </c>
      <c r="C3" s="602"/>
      <c r="D3" s="537" t="s">
        <v>366</v>
      </c>
    </row>
    <row r="4" spans="1:4" ht="11.25">
      <c r="A4" s="538">
        <v>1</v>
      </c>
      <c r="B4" s="603">
        <v>2</v>
      </c>
      <c r="C4" s="604"/>
      <c r="D4" s="538">
        <v>3</v>
      </c>
    </row>
    <row r="5" spans="1:4" ht="66" customHeight="1">
      <c r="A5" s="539">
        <v>1</v>
      </c>
      <c r="B5" s="605" t="s">
        <v>367</v>
      </c>
      <c r="C5" s="606"/>
      <c r="D5" s="540">
        <v>2487</v>
      </c>
    </row>
    <row r="6" spans="1:4" ht="79.5" customHeight="1">
      <c r="A6" s="539">
        <v>2</v>
      </c>
      <c r="B6" s="605" t="s">
        <v>368</v>
      </c>
      <c r="C6" s="606"/>
      <c r="D6" s="540">
        <v>0</v>
      </c>
    </row>
    <row r="7" spans="1:4" ht="11.25" customHeight="1">
      <c r="A7" s="607" t="s">
        <v>369</v>
      </c>
      <c r="B7" s="608"/>
      <c r="C7" s="609"/>
      <c r="D7" s="541">
        <f>MAX(1,D5-D6)</f>
        <v>2487</v>
      </c>
    </row>
    <row r="8" spans="1:4" ht="11.25" customHeight="1">
      <c r="A8" s="607" t="s">
        <v>370</v>
      </c>
      <c r="B8" s="608"/>
      <c r="C8" s="609"/>
      <c r="D8" s="541">
        <f>D5/D7</f>
        <v>1</v>
      </c>
    </row>
    <row r="9" spans="1:4" ht="11.25">
      <c r="A9" s="542"/>
      <c r="B9" s="543"/>
      <c r="C9" s="543"/>
      <c r="D9" s="544"/>
    </row>
    <row r="10" spans="1:4" ht="11.25">
      <c r="A10" s="542"/>
      <c r="B10" s="543"/>
      <c r="C10" s="543"/>
      <c r="D10" s="544"/>
    </row>
    <row r="11" spans="1:4" ht="11.25">
      <c r="A11" s="52"/>
      <c r="B11" s="71"/>
      <c r="C11" s="71"/>
      <c r="D11" s="17" t="s">
        <v>371</v>
      </c>
    </row>
    <row r="12" spans="1:4" ht="11.25" customHeight="1">
      <c r="A12" s="600" t="s">
        <v>372</v>
      </c>
      <c r="B12" s="600"/>
      <c r="C12" s="600"/>
      <c r="D12" s="600"/>
    </row>
    <row r="13" spans="1:4" ht="11.25">
      <c r="A13" s="536" t="s">
        <v>91</v>
      </c>
      <c r="B13" s="601" t="s">
        <v>365</v>
      </c>
      <c r="C13" s="602"/>
      <c r="D13" s="537" t="s">
        <v>366</v>
      </c>
    </row>
    <row r="14" spans="1:4" ht="11.25">
      <c r="A14" s="538">
        <v>1</v>
      </c>
      <c r="B14" s="603">
        <v>2</v>
      </c>
      <c r="C14" s="604"/>
      <c r="D14" s="538">
        <v>3</v>
      </c>
    </row>
    <row r="15" spans="1:4" ht="11.25" customHeight="1">
      <c r="A15" s="539">
        <v>1</v>
      </c>
      <c r="B15" s="605" t="s">
        <v>373</v>
      </c>
      <c r="C15" s="606"/>
      <c r="D15" s="540">
        <v>1410</v>
      </c>
    </row>
    <row r="16" spans="1:4" ht="11.25" customHeight="1">
      <c r="A16" s="539">
        <v>2</v>
      </c>
      <c r="B16" s="605" t="s">
        <v>374</v>
      </c>
      <c r="C16" s="606"/>
      <c r="D16" s="540">
        <v>842</v>
      </c>
    </row>
    <row r="17" spans="1:4" ht="11.25" customHeight="1">
      <c r="A17" s="607" t="s">
        <v>375</v>
      </c>
      <c r="B17" s="608"/>
      <c r="C17" s="609"/>
      <c r="D17" s="545">
        <f>MAX(1,D15-D16)</f>
        <v>568</v>
      </c>
    </row>
    <row r="18" spans="1:4" ht="11.25">
      <c r="A18" s="607" t="s">
        <v>376</v>
      </c>
      <c r="B18" s="608"/>
      <c r="C18" s="609"/>
      <c r="D18" s="541">
        <f>D15/D17</f>
        <v>2.482394366197183</v>
      </c>
    </row>
    <row r="19" spans="1:4" ht="11.25">
      <c r="A19" s="542"/>
      <c r="B19" s="543"/>
      <c r="C19" s="543"/>
      <c r="D19" s="544"/>
    </row>
    <row r="20" spans="1:4" ht="11.25">
      <c r="A20" s="542"/>
      <c r="B20" s="546"/>
      <c r="C20" s="546"/>
      <c r="D20" s="544"/>
    </row>
    <row r="21" spans="1:4" ht="11.25">
      <c r="A21" s="52"/>
      <c r="B21" s="71"/>
      <c r="C21" s="71"/>
      <c r="D21" s="17" t="s">
        <v>377</v>
      </c>
    </row>
    <row r="22" spans="1:4" ht="11.25" customHeight="1">
      <c r="A22" s="600" t="s">
        <v>378</v>
      </c>
      <c r="B22" s="600"/>
      <c r="C22" s="600"/>
      <c r="D22" s="600"/>
    </row>
    <row r="23" spans="1:4" ht="11.25">
      <c r="A23" s="536" t="s">
        <v>91</v>
      </c>
      <c r="B23" s="601" t="s">
        <v>365</v>
      </c>
      <c r="C23" s="602"/>
      <c r="D23" s="537" t="s">
        <v>366</v>
      </c>
    </row>
    <row r="24" spans="1:4" ht="11.25">
      <c r="A24" s="538">
        <v>1</v>
      </c>
      <c r="B24" s="603">
        <v>2</v>
      </c>
      <c r="C24" s="604"/>
      <c r="D24" s="538">
        <v>3</v>
      </c>
    </row>
    <row r="25" spans="1:4" ht="11.25" customHeight="1">
      <c r="A25" s="539">
        <v>1</v>
      </c>
      <c r="B25" s="605" t="s">
        <v>379</v>
      </c>
      <c r="C25" s="606"/>
      <c r="D25" s="540">
        <v>4</v>
      </c>
    </row>
    <row r="26" spans="1:4" ht="11.25" customHeight="1">
      <c r="A26" s="539">
        <v>2</v>
      </c>
      <c r="B26" s="605" t="s">
        <v>380</v>
      </c>
      <c r="C26" s="606"/>
      <c r="D26" s="540">
        <v>248.7</v>
      </c>
    </row>
    <row r="27" spans="1:4" ht="11.25" customHeight="1">
      <c r="A27" s="607" t="s">
        <v>381</v>
      </c>
      <c r="B27" s="608"/>
      <c r="C27" s="609"/>
      <c r="D27" s="545">
        <f>MAX(1,D26-D25)</f>
        <v>244.7</v>
      </c>
    </row>
    <row r="28" spans="1:4" ht="11.25" customHeight="1">
      <c r="A28" s="607" t="s">
        <v>382</v>
      </c>
      <c r="B28" s="608"/>
      <c r="C28" s="609"/>
      <c r="D28" s="541">
        <f>D26/D27</f>
        <v>1.01634654679199</v>
      </c>
    </row>
    <row r="29" spans="1:4" ht="11.25">
      <c r="A29" s="542"/>
      <c r="B29" s="543"/>
      <c r="C29" s="543"/>
      <c r="D29" s="544"/>
    </row>
    <row r="30" spans="1:4" ht="11.25">
      <c r="A30" s="542"/>
      <c r="B30" s="543"/>
      <c r="C30" s="543"/>
      <c r="D30" s="544"/>
    </row>
    <row r="31" spans="1:4" ht="11.25" customHeight="1">
      <c r="A31" s="611" t="s">
        <v>383</v>
      </c>
      <c r="B31" s="611"/>
      <c r="C31" s="611"/>
      <c r="D31" s="611"/>
    </row>
    <row r="32" spans="1:4" ht="11.25">
      <c r="A32" s="607" t="s">
        <v>384</v>
      </c>
      <c r="B32" s="608"/>
      <c r="C32" s="609"/>
      <c r="D32" s="547">
        <f>0.4*D8+0.4*D18+0.2*D28</f>
        <v>1.5962270558372715</v>
      </c>
    </row>
    <row r="33" spans="1:4" ht="11.25">
      <c r="A33" s="542"/>
      <c r="B33" s="543"/>
      <c r="C33" s="543"/>
      <c r="D33" s="544"/>
    </row>
    <row r="34" spans="1:4" ht="11.25">
      <c r="A34" s="542"/>
      <c r="B34" s="548"/>
      <c r="C34" s="548"/>
      <c r="D34" s="549"/>
    </row>
    <row r="35" spans="1:4" ht="11.25">
      <c r="A35" s="9"/>
      <c r="B35" s="9" t="s">
        <v>92</v>
      </c>
      <c r="C35" s="9"/>
      <c r="D35" s="13"/>
    </row>
    <row r="36" spans="1:4" ht="11.25">
      <c r="A36" s="9"/>
      <c r="B36" s="10"/>
      <c r="C36" s="10"/>
      <c r="D36" s="13"/>
    </row>
    <row r="37" spans="1:4" ht="11.25" customHeight="1">
      <c r="A37" s="610" t="s">
        <v>385</v>
      </c>
      <c r="B37" s="610"/>
      <c r="C37" s="610"/>
      <c r="D37" s="59" t="str">
        <f>'[1]Форма 2.4'!I48</f>
        <v>А.А.Муравин</v>
      </c>
    </row>
    <row r="38" spans="1:4" ht="11.25" customHeight="1">
      <c r="A38" s="579" t="s">
        <v>93</v>
      </c>
      <c r="B38" s="579"/>
      <c r="C38" s="579" t="s">
        <v>94</v>
      </c>
      <c r="D38" s="579"/>
    </row>
    <row r="39" spans="1:4" ht="11.25">
      <c r="A39" s="550" t="s">
        <v>386</v>
      </c>
      <c r="B39" s="7"/>
      <c r="C39" s="64"/>
      <c r="D39" s="551" t="str">
        <f>'[1]Форма 2.4'!I50</f>
        <v>Е.Н. Смышляева</v>
      </c>
    </row>
    <row r="40" spans="1:4" ht="11.25" customHeight="1">
      <c r="A40" s="579" t="s">
        <v>96</v>
      </c>
      <c r="B40" s="579"/>
      <c r="C40" s="13"/>
      <c r="D40" s="13"/>
    </row>
  </sheetData>
  <sheetProtection/>
  <mergeCells count="27">
    <mergeCell ref="A38:B38"/>
    <mergeCell ref="C38:D38"/>
    <mergeCell ref="A40:B40"/>
    <mergeCell ref="A37:C37"/>
    <mergeCell ref="B26:C26"/>
    <mergeCell ref="A27:C27"/>
    <mergeCell ref="A28:C28"/>
    <mergeCell ref="A31:D31"/>
    <mergeCell ref="A32:C32"/>
    <mergeCell ref="A17:C17"/>
    <mergeCell ref="A18:C18"/>
    <mergeCell ref="A22:D22"/>
    <mergeCell ref="B23:C23"/>
    <mergeCell ref="B24:C24"/>
    <mergeCell ref="B25:C25"/>
    <mergeCell ref="A8:C8"/>
    <mergeCell ref="A12:D12"/>
    <mergeCell ref="B13:C13"/>
    <mergeCell ref="B14:C14"/>
    <mergeCell ref="B15:C15"/>
    <mergeCell ref="B16:C16"/>
    <mergeCell ref="A2:D2"/>
    <mergeCell ref="B3:C3"/>
    <mergeCell ref="B4:C4"/>
    <mergeCell ref="B5:C5"/>
    <mergeCell ref="B6:C6"/>
    <mergeCell ref="A7:C7"/>
  </mergeCells>
  <conditionalFormatting sqref="D32:D36 D25:D30 D5:D10 D15:D20 C38:C40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D25:D26 D15:D16 D5:D6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G7:BN75"/>
  <sheetViews>
    <sheetView showGridLines="0" zoomScalePageLayoutView="0" workbookViewId="0" topLeftCell="F7">
      <selection activeCell="H25" sqref="H25"/>
    </sheetView>
  </sheetViews>
  <sheetFormatPr defaultColWidth="9.140625" defaultRowHeight="11.25"/>
  <cols>
    <col min="1" max="5" width="9.140625" style="77" hidden="1" customWidth="1"/>
    <col min="6" max="6" width="3.8515625" style="77" customWidth="1"/>
    <col min="7" max="7" width="8.57421875" style="98" customWidth="1"/>
    <col min="8" max="8" width="107.7109375" style="77" customWidth="1"/>
    <col min="9" max="9" width="1.421875" style="77" customWidth="1"/>
    <col min="10" max="10" width="0.71875" style="77" hidden="1" customWidth="1"/>
    <col min="11" max="11" width="1.421875" style="77" customWidth="1"/>
    <col min="12" max="12" width="10.00390625" style="77" customWidth="1"/>
    <col min="13" max="13" width="11.7109375" style="77" customWidth="1"/>
    <col min="14" max="16" width="9.140625" style="77" customWidth="1"/>
    <col min="17" max="17" width="1.421875" style="77" customWidth="1"/>
    <col min="18" max="22" width="0" style="77" hidden="1" customWidth="1"/>
    <col min="23" max="23" width="1.421875" style="77" hidden="1" customWidth="1"/>
    <col min="24" max="28" width="0" style="77" hidden="1" customWidth="1"/>
    <col min="29" max="29" width="1.421875" style="77" hidden="1" customWidth="1"/>
    <col min="30" max="30" width="9.140625" style="77" hidden="1" customWidth="1"/>
    <col min="31" max="31" width="8.8515625" style="77" hidden="1" customWidth="1"/>
    <col min="32" max="34" width="9.140625" style="77" hidden="1" customWidth="1"/>
    <col min="35" max="35" width="1.421875" style="77" hidden="1" customWidth="1"/>
    <col min="36" max="36" width="11.8515625" style="77" hidden="1" customWidth="1"/>
    <col min="37" max="40" width="9.140625" style="77" hidden="1" customWidth="1"/>
    <col min="41" max="43" width="0" style="77" hidden="1" customWidth="1"/>
    <col min="44" max="56" width="9.140625" style="77" hidden="1" customWidth="1"/>
    <col min="57" max="57" width="8.8515625" style="77" hidden="1" customWidth="1"/>
    <col min="58" max="66" width="9.140625" style="77" hidden="1" customWidth="1"/>
    <col min="67" max="74" width="0" style="77" hidden="1" customWidth="1"/>
    <col min="75" max="16384" width="9.140625" style="7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spans="8:13" ht="11.25">
      <c r="H7" s="374"/>
      <c r="I7" s="374"/>
      <c r="J7" s="374"/>
      <c r="K7" s="374"/>
      <c r="M7" s="94"/>
    </row>
    <row r="8" spans="7:17" s="322" customFormat="1" ht="15" customHeight="1">
      <c r="G8" s="621" t="s">
        <v>127</v>
      </c>
      <c r="H8" s="621"/>
      <c r="I8" s="360"/>
      <c r="J8" s="360"/>
      <c r="K8" s="104"/>
      <c r="L8" s="104"/>
      <c r="M8" s="104"/>
      <c r="N8" s="104"/>
      <c r="O8" s="104"/>
      <c r="P8" s="104"/>
      <c r="Q8" s="104"/>
    </row>
    <row r="9" spans="7:17" s="322" customFormat="1" ht="15" customHeight="1">
      <c r="G9" s="622" t="str">
        <f>IF(org&lt;&gt;"",org,"Организация не определена")</f>
        <v>ОАО "Новгородоблэлектро"</v>
      </c>
      <c r="H9" s="622"/>
      <c r="I9" s="355"/>
      <c r="J9" s="355"/>
      <c r="K9" s="161"/>
      <c r="L9" s="104"/>
      <c r="M9" s="104"/>
      <c r="N9" s="104"/>
      <c r="O9" s="104"/>
      <c r="P9" s="104"/>
      <c r="Q9" s="104"/>
    </row>
    <row r="10" spans="7:17" ht="12" customHeight="1">
      <c r="G10" s="206"/>
      <c r="H10" s="206"/>
      <c r="I10" s="357"/>
      <c r="J10" s="357"/>
      <c r="K10" s="161"/>
      <c r="L10" s="104"/>
      <c r="M10" s="104"/>
      <c r="N10" s="104"/>
      <c r="O10" s="104"/>
      <c r="P10" s="104"/>
      <c r="Q10" s="104"/>
    </row>
    <row r="11" spans="7:63" ht="24" customHeight="1">
      <c r="G11" s="623" t="s">
        <v>267</v>
      </c>
      <c r="H11" s="623" t="s">
        <v>269</v>
      </c>
      <c r="I11" s="152"/>
      <c r="J11" s="422"/>
      <c r="K11" s="90"/>
      <c r="L11" s="614" t="str">
        <f>IF(prd&lt;&gt;"",prd&amp;" год","Не определено")</f>
        <v>2014 год</v>
      </c>
      <c r="M11" s="614"/>
      <c r="N11" s="79"/>
      <c r="O11" s="376"/>
      <c r="R11" s="619" t="str">
        <f>IF(_prd3&lt;&gt;"",_prd3+1&amp;" год","Не определено")</f>
        <v>Не определено</v>
      </c>
      <c r="S11" s="620"/>
      <c r="X11" s="619" t="str">
        <f>IF(_prd3&lt;&gt;"",_prd3+2&amp;" год","Не определено")</f>
        <v>Не определено</v>
      </c>
      <c r="Y11" s="620"/>
      <c r="AD11" s="615" t="str">
        <f>IF(_prd3&lt;&gt;"",_prd3+3&amp;" год","Не определено")</f>
        <v>Не определено</v>
      </c>
      <c r="AE11" s="616"/>
      <c r="AJ11" s="615" t="str">
        <f>IF(_prd3&lt;&gt;"",_prd3+4&amp;" год","Не определено")</f>
        <v>Не определено</v>
      </c>
      <c r="AK11" s="616"/>
      <c r="AR11" s="615" t="str">
        <f>IF(_prd3&lt;&gt;"",_prd3+1&amp;" год","Не определено")</f>
        <v>Не определено</v>
      </c>
      <c r="AS11" s="616"/>
      <c r="AX11" s="615" t="str">
        <f>IF(_prd3&lt;&gt;"",_prd3+2&amp;" год","Не определено")</f>
        <v>Не определено</v>
      </c>
      <c r="AY11" s="616"/>
      <c r="BD11" s="615" t="str">
        <f>IF(_prd3&lt;&gt;"",_prd3+3&amp;" год","Не определено")</f>
        <v>Не определено</v>
      </c>
      <c r="BE11" s="616"/>
      <c r="BJ11" s="615" t="str">
        <f>IF(_prd3&lt;&gt;"",_prd3+4&amp;" год","Не определено")</f>
        <v>Не определено</v>
      </c>
      <c r="BK11" s="616"/>
    </row>
    <row r="12" spans="7:63" ht="25.5" customHeight="1">
      <c r="G12" s="624"/>
      <c r="H12" s="624"/>
      <c r="I12" s="152"/>
      <c r="J12" s="425"/>
      <c r="K12" s="90"/>
      <c r="L12" s="367" t="s">
        <v>18</v>
      </c>
      <c r="M12" s="367" t="s">
        <v>19</v>
      </c>
      <c r="N12" s="386"/>
      <c r="O12" s="386"/>
      <c r="R12" s="368" t="s">
        <v>18</v>
      </c>
      <c r="S12" s="368" t="s">
        <v>19</v>
      </c>
      <c r="X12" s="368" t="s">
        <v>18</v>
      </c>
      <c r="Y12" s="368" t="s">
        <v>19</v>
      </c>
      <c r="AD12" s="323" t="s">
        <v>18</v>
      </c>
      <c r="AE12" s="323" t="s">
        <v>19</v>
      </c>
      <c r="AJ12" s="323" t="s">
        <v>18</v>
      </c>
      <c r="AK12" s="323" t="s">
        <v>19</v>
      </c>
      <c r="AR12" s="204" t="s">
        <v>18</v>
      </c>
      <c r="AS12" s="204" t="s">
        <v>19</v>
      </c>
      <c r="AX12" s="204" t="s">
        <v>18</v>
      </c>
      <c r="AY12" s="204" t="s">
        <v>19</v>
      </c>
      <c r="BD12" s="204" t="s">
        <v>18</v>
      </c>
      <c r="BE12" s="204" t="s">
        <v>19</v>
      </c>
      <c r="BJ12" s="204" t="s">
        <v>18</v>
      </c>
      <c r="BK12" s="204" t="s">
        <v>19</v>
      </c>
    </row>
    <row r="13" spans="7:63" s="397" customFormat="1" ht="11.25">
      <c r="G13" s="393" t="s">
        <v>84</v>
      </c>
      <c r="H13" s="393" t="s">
        <v>80</v>
      </c>
      <c r="I13" s="394"/>
      <c r="J13" s="395"/>
      <c r="K13" s="395"/>
      <c r="L13" s="393" t="s">
        <v>81</v>
      </c>
      <c r="M13" s="393" t="s">
        <v>124</v>
      </c>
      <c r="N13" s="396"/>
      <c r="O13" s="396"/>
      <c r="R13" s="398" t="s">
        <v>123</v>
      </c>
      <c r="S13" s="398" t="s">
        <v>122</v>
      </c>
      <c r="X13" s="398" t="s">
        <v>121</v>
      </c>
      <c r="Y13" s="398" t="s">
        <v>120</v>
      </c>
      <c r="AD13" s="398" t="s">
        <v>75</v>
      </c>
      <c r="AE13" s="398" t="s">
        <v>76</v>
      </c>
      <c r="AJ13" s="398" t="s">
        <v>77</v>
      </c>
      <c r="AK13" s="398" t="s">
        <v>78</v>
      </c>
      <c r="AR13" s="393" t="s">
        <v>123</v>
      </c>
      <c r="AS13" s="393" t="s">
        <v>122</v>
      </c>
      <c r="AX13" s="393" t="s">
        <v>121</v>
      </c>
      <c r="AY13" s="393" t="s">
        <v>120</v>
      </c>
      <c r="BD13" s="393" t="s">
        <v>75</v>
      </c>
      <c r="BE13" s="393" t="s">
        <v>76</v>
      </c>
      <c r="BJ13" s="393" t="s">
        <v>77</v>
      </c>
      <c r="BK13" s="393" t="s">
        <v>78</v>
      </c>
    </row>
    <row r="14" spans="7:63" ht="22.5">
      <c r="G14" s="195" t="s">
        <v>84</v>
      </c>
      <c r="H14" s="196" t="s">
        <v>273</v>
      </c>
      <c r="I14" s="361"/>
      <c r="J14" s="97"/>
      <c r="K14" s="191"/>
      <c r="L14" s="205"/>
      <c r="M14" s="205"/>
      <c r="N14" s="387"/>
      <c r="O14" s="387"/>
      <c r="P14" s="78"/>
      <c r="Q14" s="78"/>
      <c r="R14" s="336"/>
      <c r="S14" s="336"/>
      <c r="T14" s="78"/>
      <c r="U14" s="78"/>
      <c r="V14" s="78"/>
      <c r="W14" s="78"/>
      <c r="X14" s="336"/>
      <c r="Y14" s="336"/>
      <c r="Z14" s="78"/>
      <c r="AA14" s="78"/>
      <c r="AB14" s="78"/>
      <c r="AC14" s="78"/>
      <c r="AD14" s="336"/>
      <c r="AE14" s="336"/>
      <c r="AF14" s="78"/>
      <c r="AG14" s="78"/>
      <c r="AH14" s="78"/>
      <c r="AI14" s="78"/>
      <c r="AJ14" s="336"/>
      <c r="AK14" s="336"/>
      <c r="AL14" s="78"/>
      <c r="AM14" s="78"/>
      <c r="AN14" s="78"/>
      <c r="AO14" s="78"/>
      <c r="AP14" s="78"/>
      <c r="AQ14" s="78"/>
      <c r="AR14" s="205"/>
      <c r="AS14" s="205"/>
      <c r="AT14" s="78"/>
      <c r="AU14" s="78"/>
      <c r="AV14" s="78"/>
      <c r="AW14" s="78"/>
      <c r="AX14" s="205"/>
      <c r="AY14" s="205"/>
      <c r="AZ14" s="78"/>
      <c r="BA14" s="78"/>
      <c r="BB14" s="78"/>
      <c r="BC14" s="78"/>
      <c r="BD14" s="205"/>
      <c r="BE14" s="205"/>
      <c r="BF14" s="78"/>
      <c r="BG14" s="78"/>
      <c r="BH14" s="78"/>
      <c r="BI14" s="78"/>
      <c r="BJ14" s="205"/>
      <c r="BK14" s="205"/>
    </row>
    <row r="15" spans="7:66" ht="11.25">
      <c r="G15" s="350" t="s">
        <v>141</v>
      </c>
      <c r="H15" s="283" t="s">
        <v>308</v>
      </c>
      <c r="I15" s="191"/>
      <c r="J15" s="270"/>
      <c r="K15" s="191"/>
      <c r="L15" s="269">
        <v>13</v>
      </c>
      <c r="M15" s="269">
        <v>12</v>
      </c>
      <c r="N15" s="280"/>
      <c r="O15" s="280"/>
      <c r="P15" s="268"/>
      <c r="Q15" s="268"/>
      <c r="R15" s="272">
        <f>S15</f>
        <v>12</v>
      </c>
      <c r="S15" s="272">
        <f>M15</f>
        <v>12</v>
      </c>
      <c r="T15" s="388"/>
      <c r="U15" s="268"/>
      <c r="V15" s="268"/>
      <c r="W15" s="268"/>
      <c r="X15" s="272">
        <f aca="true" t="shared" si="0" ref="X15:X21">Y15</f>
        <v>12.18</v>
      </c>
      <c r="Y15" s="272">
        <f>IF('ф.6.4 План_Качество'!$L$10="да",S15*(1+wrk_f24_k),S15)</f>
        <v>12.18</v>
      </c>
      <c r="Z15" s="268"/>
      <c r="AA15" s="268"/>
      <c r="AB15" s="268"/>
      <c r="AC15" s="268"/>
      <c r="AD15" s="272">
        <f aca="true" t="shared" si="1" ref="AD15:AD21">AE15</f>
        <v>12.362699999999998</v>
      </c>
      <c r="AE15" s="272">
        <f>IF('ф.6.4 План_Качество'!$L$10="да",Y15*(1+wrk_f24_k),Y15)</f>
        <v>12.362699999999998</v>
      </c>
      <c r="AF15" s="268"/>
      <c r="AG15" s="268"/>
      <c r="AH15" s="268"/>
      <c r="AI15" s="268"/>
      <c r="AJ15" s="272">
        <f aca="true" t="shared" si="2" ref="AJ15:AJ21">AK15</f>
        <v>12.548140499999997</v>
      </c>
      <c r="AK15" s="272">
        <f>IF('ф.6.4 План_Качество'!$L$10="да",AE15*(1+wrk_f24_k),AE15)</f>
        <v>12.548140499999997</v>
      </c>
      <c r="AL15" s="268"/>
      <c r="AM15" s="268"/>
      <c r="AN15" s="268"/>
      <c r="AO15" s="268"/>
      <c r="AP15" s="268"/>
      <c r="AQ15" s="268"/>
      <c r="AR15" s="389">
        <f>AS15</f>
        <v>0</v>
      </c>
      <c r="AS15" s="266"/>
      <c r="AT15" s="268"/>
      <c r="AU15" s="268"/>
      <c r="AV15" s="268"/>
      <c r="AW15" s="268"/>
      <c r="AX15" s="389">
        <f>AY15</f>
        <v>0</v>
      </c>
      <c r="AY15" s="266"/>
      <c r="AZ15" s="268"/>
      <c r="BA15" s="268"/>
      <c r="BB15" s="268"/>
      <c r="BC15" s="268"/>
      <c r="BD15" s="389">
        <f aca="true" t="shared" si="3" ref="BD15:BD21">BE15</f>
        <v>0</v>
      </c>
      <c r="BE15" s="266"/>
      <c r="BF15" s="268"/>
      <c r="BG15" s="268"/>
      <c r="BH15" s="268"/>
      <c r="BI15" s="268"/>
      <c r="BJ15" s="389">
        <f aca="true" t="shared" si="4" ref="BJ15:BJ21">BK15</f>
        <v>0</v>
      </c>
      <c r="BK15" s="266"/>
      <c r="BL15" s="229"/>
      <c r="BM15" s="229"/>
      <c r="BN15" s="229"/>
    </row>
    <row r="16" spans="7:66" s="78" customFormat="1" ht="11.25">
      <c r="G16" s="390" t="s">
        <v>309</v>
      </c>
      <c r="H16" s="351" t="s">
        <v>29</v>
      </c>
      <c r="I16" s="362"/>
      <c r="J16" s="270"/>
      <c r="K16" s="191"/>
      <c r="L16" s="269">
        <v>24</v>
      </c>
      <c r="M16" s="269">
        <v>24</v>
      </c>
      <c r="N16" s="280"/>
      <c r="O16" s="280"/>
      <c r="P16" s="268"/>
      <c r="Q16" s="268"/>
      <c r="R16" s="272">
        <f>S16</f>
        <v>24</v>
      </c>
      <c r="S16" s="272">
        <f>M16</f>
        <v>24</v>
      </c>
      <c r="T16" s="388"/>
      <c r="U16" s="268"/>
      <c r="V16" s="268"/>
      <c r="W16" s="268"/>
      <c r="X16" s="272">
        <f t="shared" si="0"/>
        <v>24.36</v>
      </c>
      <c r="Y16" s="272">
        <f>IF('ф.6.4 План_Качество'!$L$10="да",S16*(1+wrk_f24_k),S16)</f>
        <v>24.36</v>
      </c>
      <c r="Z16" s="268"/>
      <c r="AA16" s="268"/>
      <c r="AB16" s="268"/>
      <c r="AC16" s="268"/>
      <c r="AD16" s="272">
        <f t="shared" si="1"/>
        <v>24.725399999999997</v>
      </c>
      <c r="AE16" s="272">
        <f>IF('ф.6.4 План_Качество'!$L$10="да",Y16*(1+wrk_f24_k),Y16)</f>
        <v>24.725399999999997</v>
      </c>
      <c r="AF16" s="268"/>
      <c r="AG16" s="268"/>
      <c r="AH16" s="268"/>
      <c r="AI16" s="268"/>
      <c r="AJ16" s="272">
        <f t="shared" si="2"/>
        <v>25.096280999999994</v>
      </c>
      <c r="AK16" s="272">
        <f>IF('ф.6.4 План_Качество'!$L$10="да",AE16*(1+wrk_f24_k),AE16)</f>
        <v>25.096280999999994</v>
      </c>
      <c r="AL16" s="268"/>
      <c r="AM16" s="268"/>
      <c r="AN16" s="268"/>
      <c r="AO16" s="268"/>
      <c r="AP16" s="268"/>
      <c r="AQ16" s="268"/>
      <c r="AR16" s="389">
        <f aca="true" t="shared" si="5" ref="AR16:AR35">AS16</f>
        <v>0</v>
      </c>
      <c r="AS16" s="266"/>
      <c r="AT16" s="268"/>
      <c r="AU16" s="268"/>
      <c r="AV16" s="268"/>
      <c r="AW16" s="268"/>
      <c r="AX16" s="389">
        <f aca="true" t="shared" si="6" ref="AX16:AX35">AY16</f>
        <v>0</v>
      </c>
      <c r="AY16" s="266"/>
      <c r="AZ16" s="268"/>
      <c r="BA16" s="268"/>
      <c r="BB16" s="268"/>
      <c r="BC16" s="268"/>
      <c r="BD16" s="389">
        <f t="shared" si="3"/>
        <v>0</v>
      </c>
      <c r="BE16" s="266"/>
      <c r="BF16" s="268"/>
      <c r="BG16" s="268"/>
      <c r="BH16" s="268"/>
      <c r="BI16" s="268"/>
      <c r="BJ16" s="389">
        <f t="shared" si="4"/>
        <v>0</v>
      </c>
      <c r="BK16" s="266"/>
      <c r="BL16" s="231"/>
      <c r="BM16" s="231"/>
      <c r="BN16" s="231"/>
    </row>
    <row r="17" spans="7:66" ht="22.5">
      <c r="G17" s="352" t="s">
        <v>140</v>
      </c>
      <c r="H17" s="198" t="s">
        <v>26</v>
      </c>
      <c r="I17" s="363"/>
      <c r="J17" s="270"/>
      <c r="K17" s="192"/>
      <c r="L17" s="277"/>
      <c r="M17" s="277"/>
      <c r="N17" s="280"/>
      <c r="O17" s="280"/>
      <c r="P17" s="268"/>
      <c r="Q17" s="268"/>
      <c r="R17" s="277"/>
      <c r="S17" s="277"/>
      <c r="T17" s="268"/>
      <c r="U17" s="268"/>
      <c r="V17" s="268"/>
      <c r="W17" s="268"/>
      <c r="X17" s="277"/>
      <c r="Y17" s="277"/>
      <c r="Z17" s="268"/>
      <c r="AA17" s="268"/>
      <c r="AB17" s="268"/>
      <c r="AC17" s="268"/>
      <c r="AD17" s="277"/>
      <c r="AE17" s="277"/>
      <c r="AF17" s="268"/>
      <c r="AG17" s="268"/>
      <c r="AH17" s="268"/>
      <c r="AI17" s="268"/>
      <c r="AJ17" s="277"/>
      <c r="AK17" s="277"/>
      <c r="AL17" s="268"/>
      <c r="AM17" s="268"/>
      <c r="AN17" s="268"/>
      <c r="AO17" s="268"/>
      <c r="AP17" s="268"/>
      <c r="AQ17" s="268"/>
      <c r="AR17" s="389">
        <f t="shared" si="5"/>
        <v>0</v>
      </c>
      <c r="AS17" s="269"/>
      <c r="AT17" s="268"/>
      <c r="AU17" s="268"/>
      <c r="AV17" s="268"/>
      <c r="AW17" s="268"/>
      <c r="AX17" s="389">
        <f t="shared" si="6"/>
        <v>0</v>
      </c>
      <c r="AY17" s="269"/>
      <c r="AZ17" s="268"/>
      <c r="BA17" s="268"/>
      <c r="BB17" s="268"/>
      <c r="BC17" s="268"/>
      <c r="BD17" s="389">
        <f t="shared" si="3"/>
        <v>0</v>
      </c>
      <c r="BE17" s="269"/>
      <c r="BF17" s="268"/>
      <c r="BG17" s="268"/>
      <c r="BH17" s="268"/>
      <c r="BI17" s="268"/>
      <c r="BJ17" s="389">
        <f t="shared" si="4"/>
        <v>0</v>
      </c>
      <c r="BK17" s="269"/>
      <c r="BL17" s="229"/>
      <c r="BM17" s="229"/>
      <c r="BN17" s="229"/>
    </row>
    <row r="18" spans="7:66" ht="11.25">
      <c r="G18" s="195" t="s">
        <v>196</v>
      </c>
      <c r="H18" s="282" t="s">
        <v>216</v>
      </c>
      <c r="I18" s="193"/>
      <c r="J18" s="270"/>
      <c r="K18" s="193"/>
      <c r="L18" s="269">
        <v>5</v>
      </c>
      <c r="M18" s="269">
        <v>5</v>
      </c>
      <c r="N18" s="270"/>
      <c r="O18" s="271"/>
      <c r="P18" s="268"/>
      <c r="Q18" s="268"/>
      <c r="R18" s="272">
        <f aca="true" t="shared" si="7" ref="R18:R35">S18</f>
        <v>5.074999999999999</v>
      </c>
      <c r="S18" s="272">
        <f>IF('ф.6.4 План_Качество'!$L$10="да",M18*(1+wrk_f24_k),M18)</f>
        <v>5.074999999999999</v>
      </c>
      <c r="T18" s="268"/>
      <c r="U18" s="268"/>
      <c r="V18" s="268"/>
      <c r="W18" s="268"/>
      <c r="X18" s="272">
        <f t="shared" si="0"/>
        <v>5.151124999999999</v>
      </c>
      <c r="Y18" s="272">
        <f>IF('ф.6.4 План_Качество'!$L$10="да",S18*(1+wrk_f24_k),S18)</f>
        <v>5.151124999999999</v>
      </c>
      <c r="Z18" s="268"/>
      <c r="AA18" s="268"/>
      <c r="AB18" s="268"/>
      <c r="AC18" s="268"/>
      <c r="AD18" s="272">
        <f t="shared" si="1"/>
        <v>5.228391874999998</v>
      </c>
      <c r="AE18" s="272">
        <f>IF('ф.6.4 План_Качество'!$L$10="да",Y18*(1+wrk_f24_k),Y18)</f>
        <v>5.228391874999998</v>
      </c>
      <c r="AF18" s="268"/>
      <c r="AG18" s="268"/>
      <c r="AH18" s="268"/>
      <c r="AI18" s="268"/>
      <c r="AJ18" s="272">
        <f t="shared" si="2"/>
        <v>5.306817753124998</v>
      </c>
      <c r="AK18" s="272">
        <f>IF('ф.6.4 План_Качество'!$L$10="да",AE18*(1+wrk_f24_k),AE18)</f>
        <v>5.306817753124998</v>
      </c>
      <c r="AL18" s="268"/>
      <c r="AM18" s="268"/>
      <c r="AN18" s="268"/>
      <c r="AO18" s="268"/>
      <c r="AP18" s="268"/>
      <c r="AQ18" s="268"/>
      <c r="AR18" s="389">
        <f t="shared" si="5"/>
        <v>0</v>
      </c>
      <c r="AS18" s="266"/>
      <c r="AT18" s="268"/>
      <c r="AU18" s="268"/>
      <c r="AV18" s="268"/>
      <c r="AW18" s="268"/>
      <c r="AX18" s="389">
        <f t="shared" si="6"/>
        <v>0</v>
      </c>
      <c r="AY18" s="266"/>
      <c r="AZ18" s="268"/>
      <c r="BA18" s="268"/>
      <c r="BB18" s="268"/>
      <c r="BC18" s="268"/>
      <c r="BD18" s="389">
        <f t="shared" si="3"/>
        <v>0</v>
      </c>
      <c r="BE18" s="266"/>
      <c r="BF18" s="268"/>
      <c r="BG18" s="268"/>
      <c r="BH18" s="268"/>
      <c r="BI18" s="268"/>
      <c r="BJ18" s="389">
        <f t="shared" si="4"/>
        <v>0</v>
      </c>
      <c r="BK18" s="266"/>
      <c r="BL18" s="229"/>
      <c r="BM18" s="229"/>
      <c r="BN18" s="229"/>
    </row>
    <row r="19" spans="7:66" ht="22.5">
      <c r="G19" s="195" t="s">
        <v>197</v>
      </c>
      <c r="H19" s="282" t="s">
        <v>222</v>
      </c>
      <c r="I19" s="193"/>
      <c r="J19" s="274"/>
      <c r="K19" s="193"/>
      <c r="L19" s="354">
        <v>1</v>
      </c>
      <c r="M19" s="354">
        <v>1</v>
      </c>
      <c r="N19" s="274"/>
      <c r="O19" s="274"/>
      <c r="P19" s="281"/>
      <c r="Q19" s="281"/>
      <c r="R19" s="275">
        <f t="shared" si="7"/>
        <v>1</v>
      </c>
      <c r="S19" s="272">
        <f>M19</f>
        <v>1</v>
      </c>
      <c r="T19" s="281"/>
      <c r="U19" s="281"/>
      <c r="V19" s="281"/>
      <c r="W19" s="281"/>
      <c r="X19" s="275">
        <f t="shared" si="0"/>
        <v>1</v>
      </c>
      <c r="Y19" s="272">
        <f>S19</f>
        <v>1</v>
      </c>
      <c r="Z19" s="281"/>
      <c r="AA19" s="281"/>
      <c r="AB19" s="281"/>
      <c r="AC19" s="281"/>
      <c r="AD19" s="275">
        <f t="shared" si="1"/>
        <v>1</v>
      </c>
      <c r="AE19" s="272">
        <f>Y19</f>
        <v>1</v>
      </c>
      <c r="AF19" s="281"/>
      <c r="AG19" s="281"/>
      <c r="AH19" s="281"/>
      <c r="AI19" s="281"/>
      <c r="AJ19" s="275">
        <f t="shared" si="2"/>
        <v>1</v>
      </c>
      <c r="AK19" s="272">
        <f>AE19</f>
        <v>1</v>
      </c>
      <c r="AL19" s="281"/>
      <c r="AM19" s="281"/>
      <c r="AN19" s="281"/>
      <c r="AO19" s="281"/>
      <c r="AP19" s="281"/>
      <c r="AQ19" s="281"/>
      <c r="AR19" s="391">
        <f t="shared" si="5"/>
        <v>0</v>
      </c>
      <c r="AS19" s="273"/>
      <c r="AT19" s="281"/>
      <c r="AU19" s="281"/>
      <c r="AV19" s="281"/>
      <c r="AW19" s="281"/>
      <c r="AX19" s="391">
        <f t="shared" si="6"/>
        <v>0</v>
      </c>
      <c r="AY19" s="273"/>
      <c r="AZ19" s="281"/>
      <c r="BA19" s="281"/>
      <c r="BB19" s="281"/>
      <c r="BC19" s="281"/>
      <c r="BD19" s="391">
        <f t="shared" si="3"/>
        <v>0</v>
      </c>
      <c r="BE19" s="273"/>
      <c r="BF19" s="281"/>
      <c r="BG19" s="281"/>
      <c r="BH19" s="281"/>
      <c r="BI19" s="281"/>
      <c r="BJ19" s="391">
        <f t="shared" si="4"/>
        <v>0</v>
      </c>
      <c r="BK19" s="273"/>
      <c r="BL19" s="229"/>
      <c r="BM19" s="229"/>
      <c r="BN19" s="229"/>
    </row>
    <row r="20" spans="7:66" ht="11.25">
      <c r="G20" s="195" t="s">
        <v>198</v>
      </c>
      <c r="H20" s="282" t="s">
        <v>217</v>
      </c>
      <c r="I20" s="193"/>
      <c r="J20" s="270"/>
      <c r="K20" s="193"/>
      <c r="L20" s="269">
        <v>174</v>
      </c>
      <c r="M20" s="269">
        <v>174</v>
      </c>
      <c r="N20" s="270"/>
      <c r="O20" s="270"/>
      <c r="P20" s="268"/>
      <c r="Q20" s="268"/>
      <c r="R20" s="272">
        <f t="shared" si="7"/>
        <v>176.60999999999999</v>
      </c>
      <c r="S20" s="272">
        <f>IF('ф.6.4 План_Качество'!$L$10="да",M20*(1+wrk_f24_k),M20)</f>
        <v>176.60999999999999</v>
      </c>
      <c r="T20" s="268"/>
      <c r="U20" s="268"/>
      <c r="V20" s="268"/>
      <c r="W20" s="268"/>
      <c r="X20" s="272">
        <f t="shared" si="0"/>
        <v>179.25914999999998</v>
      </c>
      <c r="Y20" s="272">
        <f>IF('ф.6.4 План_Качество'!$L$10="да",S20*(1+wrk_f24_k),S20)</f>
        <v>179.25914999999998</v>
      </c>
      <c r="Z20" s="268"/>
      <c r="AA20" s="268"/>
      <c r="AB20" s="268"/>
      <c r="AC20" s="268"/>
      <c r="AD20" s="272">
        <f t="shared" si="1"/>
        <v>181.94803724999997</v>
      </c>
      <c r="AE20" s="272">
        <f>IF('ф.6.4 План_Качество'!$L$10="да",Y20*(1+wrk_f24_k),Y20)</f>
        <v>181.94803724999997</v>
      </c>
      <c r="AF20" s="268"/>
      <c r="AG20" s="268"/>
      <c r="AH20" s="268"/>
      <c r="AI20" s="268"/>
      <c r="AJ20" s="272">
        <f t="shared" si="2"/>
        <v>184.67725780874994</v>
      </c>
      <c r="AK20" s="272">
        <f>IF('ф.6.4 План_Качество'!$L$10="да",AE20*(1+wrk_f24_k),AE20)</f>
        <v>184.67725780874994</v>
      </c>
      <c r="AL20" s="268"/>
      <c r="AM20" s="268"/>
      <c r="AN20" s="268"/>
      <c r="AO20" s="268"/>
      <c r="AP20" s="268"/>
      <c r="AQ20" s="268"/>
      <c r="AR20" s="389">
        <f t="shared" si="5"/>
        <v>0</v>
      </c>
      <c r="AS20" s="266"/>
      <c r="AT20" s="268"/>
      <c r="AU20" s="268"/>
      <c r="AV20" s="268"/>
      <c r="AW20" s="268"/>
      <c r="AX20" s="389">
        <f t="shared" si="6"/>
        <v>0</v>
      </c>
      <c r="AY20" s="266"/>
      <c r="AZ20" s="268"/>
      <c r="BA20" s="268"/>
      <c r="BB20" s="268"/>
      <c r="BC20" s="268"/>
      <c r="BD20" s="389">
        <f t="shared" si="3"/>
        <v>0</v>
      </c>
      <c r="BE20" s="266"/>
      <c r="BF20" s="268"/>
      <c r="BG20" s="268"/>
      <c r="BH20" s="268"/>
      <c r="BI20" s="268"/>
      <c r="BJ20" s="389">
        <f t="shared" si="4"/>
        <v>0</v>
      </c>
      <c r="BK20" s="266"/>
      <c r="BL20" s="229"/>
      <c r="BM20" s="229"/>
      <c r="BN20" s="229"/>
    </row>
    <row r="21" spans="7:66" ht="22.5">
      <c r="G21" s="195" t="s">
        <v>199</v>
      </c>
      <c r="H21" s="282" t="s">
        <v>218</v>
      </c>
      <c r="I21" s="193"/>
      <c r="J21" s="270"/>
      <c r="K21" s="193"/>
      <c r="L21" s="269">
        <v>6</v>
      </c>
      <c r="M21" s="269">
        <v>6</v>
      </c>
      <c r="N21" s="270"/>
      <c r="O21" s="270"/>
      <c r="P21" s="268"/>
      <c r="Q21" s="268"/>
      <c r="R21" s="272">
        <f t="shared" si="7"/>
        <v>6.09</v>
      </c>
      <c r="S21" s="272">
        <f>IF('ф.6.4 План_Качество'!$L$10="да",M21*(1+wrk_f24_k),M21)</f>
        <v>6.09</v>
      </c>
      <c r="T21" s="268"/>
      <c r="U21" s="268"/>
      <c r="V21" s="268"/>
      <c r="W21" s="268"/>
      <c r="X21" s="272">
        <f t="shared" si="0"/>
        <v>6.181349999999999</v>
      </c>
      <c r="Y21" s="272">
        <f>IF('ф.6.4 План_Качество'!$L$10="да",S21*(1+wrk_f24_k),S21)</f>
        <v>6.181349999999999</v>
      </c>
      <c r="Z21" s="268"/>
      <c r="AA21" s="268"/>
      <c r="AB21" s="268"/>
      <c r="AC21" s="268"/>
      <c r="AD21" s="272">
        <f t="shared" si="1"/>
        <v>6.2740702499999985</v>
      </c>
      <c r="AE21" s="272">
        <f>IF('ф.6.4 План_Качество'!$L$10="да",Y21*(1+wrk_f24_k),Y21)</f>
        <v>6.2740702499999985</v>
      </c>
      <c r="AF21" s="268"/>
      <c r="AG21" s="268"/>
      <c r="AH21" s="268"/>
      <c r="AI21" s="268"/>
      <c r="AJ21" s="272">
        <f t="shared" si="2"/>
        <v>6.3681813037499975</v>
      </c>
      <c r="AK21" s="272">
        <f>IF('ф.6.4 План_Качество'!$L$10="да",AE21*(1+wrk_f24_k),AE21)</f>
        <v>6.3681813037499975</v>
      </c>
      <c r="AL21" s="268"/>
      <c r="AM21" s="268"/>
      <c r="AN21" s="268"/>
      <c r="AO21" s="268"/>
      <c r="AP21" s="268"/>
      <c r="AQ21" s="268"/>
      <c r="AR21" s="389">
        <f t="shared" si="5"/>
        <v>0</v>
      </c>
      <c r="AS21" s="266"/>
      <c r="AT21" s="268"/>
      <c r="AU21" s="268"/>
      <c r="AV21" s="268"/>
      <c r="AW21" s="268"/>
      <c r="AX21" s="389">
        <f t="shared" si="6"/>
        <v>0</v>
      </c>
      <c r="AY21" s="266"/>
      <c r="AZ21" s="268"/>
      <c r="BA21" s="268"/>
      <c r="BB21" s="268"/>
      <c r="BC21" s="268"/>
      <c r="BD21" s="389">
        <f t="shared" si="3"/>
        <v>0</v>
      </c>
      <c r="BE21" s="266"/>
      <c r="BF21" s="268"/>
      <c r="BG21" s="268"/>
      <c r="BH21" s="268"/>
      <c r="BI21" s="268"/>
      <c r="BJ21" s="389">
        <f t="shared" si="4"/>
        <v>0</v>
      </c>
      <c r="BK21" s="266"/>
      <c r="BL21" s="229"/>
      <c r="BM21" s="229"/>
      <c r="BN21" s="229"/>
    </row>
    <row r="22" spans="7:66" ht="22.5">
      <c r="G22" s="195" t="s">
        <v>80</v>
      </c>
      <c r="H22" s="283" t="s">
        <v>27</v>
      </c>
      <c r="I22" s="191"/>
      <c r="J22" s="232"/>
      <c r="K22" s="191"/>
      <c r="L22" s="235"/>
      <c r="M22" s="235"/>
      <c r="N22" s="232"/>
      <c r="O22" s="232"/>
      <c r="P22" s="231"/>
      <c r="Q22" s="231"/>
      <c r="R22" s="235"/>
      <c r="S22" s="235"/>
      <c r="T22" s="231"/>
      <c r="U22" s="231"/>
      <c r="V22" s="231"/>
      <c r="W22" s="231"/>
      <c r="X22" s="235"/>
      <c r="Y22" s="235"/>
      <c r="Z22" s="231"/>
      <c r="AA22" s="231"/>
      <c r="AB22" s="231"/>
      <c r="AC22" s="231"/>
      <c r="AD22" s="235"/>
      <c r="AE22" s="235"/>
      <c r="AF22" s="231"/>
      <c r="AG22" s="231"/>
      <c r="AH22" s="231"/>
      <c r="AI22" s="231"/>
      <c r="AJ22" s="235"/>
      <c r="AK22" s="235"/>
      <c r="AL22" s="231"/>
      <c r="AM22" s="231"/>
      <c r="AN22" s="231"/>
      <c r="AO22" s="231"/>
      <c r="AP22" s="231"/>
      <c r="AQ22" s="231"/>
      <c r="AR22" s="235"/>
      <c r="AS22" s="235"/>
      <c r="AT22" s="231"/>
      <c r="AU22" s="231"/>
      <c r="AV22" s="231"/>
      <c r="AW22" s="231"/>
      <c r="AX22" s="235"/>
      <c r="AY22" s="235"/>
      <c r="AZ22" s="231"/>
      <c r="BA22" s="231"/>
      <c r="BB22" s="231"/>
      <c r="BC22" s="231"/>
      <c r="BD22" s="235"/>
      <c r="BE22" s="235"/>
      <c r="BF22" s="231"/>
      <c r="BG22" s="231"/>
      <c r="BH22" s="231"/>
      <c r="BI22" s="231"/>
      <c r="BJ22" s="235"/>
      <c r="BK22" s="235"/>
      <c r="BL22" s="229"/>
      <c r="BM22" s="229"/>
      <c r="BN22" s="229"/>
    </row>
    <row r="23" spans="7:66" ht="11.25">
      <c r="G23" s="195" t="s">
        <v>114</v>
      </c>
      <c r="H23" s="284" t="s">
        <v>161</v>
      </c>
      <c r="I23" s="192"/>
      <c r="J23" s="274"/>
      <c r="K23" s="192"/>
      <c r="L23" s="354">
        <v>1</v>
      </c>
      <c r="M23" s="354">
        <v>1</v>
      </c>
      <c r="N23" s="274"/>
      <c r="O23" s="274"/>
      <c r="P23" s="281"/>
      <c r="Q23" s="281"/>
      <c r="R23" s="275">
        <f t="shared" si="7"/>
        <v>1</v>
      </c>
      <c r="S23" s="272">
        <f>M23</f>
        <v>1</v>
      </c>
      <c r="T23" s="281"/>
      <c r="U23" s="281"/>
      <c r="V23" s="281"/>
      <c r="W23" s="281"/>
      <c r="X23" s="275">
        <f>Y23</f>
        <v>1</v>
      </c>
      <c r="Y23" s="272">
        <f>S23</f>
        <v>1</v>
      </c>
      <c r="Z23" s="281"/>
      <c r="AA23" s="281"/>
      <c r="AB23" s="281"/>
      <c r="AC23" s="281"/>
      <c r="AD23" s="275">
        <f>AE23</f>
        <v>1</v>
      </c>
      <c r="AE23" s="272">
        <f>Y23</f>
        <v>1</v>
      </c>
      <c r="AF23" s="281"/>
      <c r="AG23" s="281"/>
      <c r="AH23" s="281"/>
      <c r="AI23" s="281"/>
      <c r="AJ23" s="275">
        <f>AK23</f>
        <v>1</v>
      </c>
      <c r="AK23" s="272">
        <f>AE23</f>
        <v>1</v>
      </c>
      <c r="AL23" s="281"/>
      <c r="AM23" s="281"/>
      <c r="AN23" s="281"/>
      <c r="AO23" s="281"/>
      <c r="AP23" s="281"/>
      <c r="AQ23" s="281"/>
      <c r="AR23" s="391">
        <f t="shared" si="5"/>
        <v>0</v>
      </c>
      <c r="AS23" s="273"/>
      <c r="AT23" s="281"/>
      <c r="AU23" s="281"/>
      <c r="AV23" s="281"/>
      <c r="AW23" s="281"/>
      <c r="AX23" s="391">
        <f t="shared" si="6"/>
        <v>0</v>
      </c>
      <c r="AY23" s="273"/>
      <c r="AZ23" s="281"/>
      <c r="BA23" s="281"/>
      <c r="BB23" s="281"/>
      <c r="BC23" s="281"/>
      <c r="BD23" s="391">
        <f>BE23</f>
        <v>0</v>
      </c>
      <c r="BE23" s="273"/>
      <c r="BF23" s="281"/>
      <c r="BG23" s="281"/>
      <c r="BH23" s="281"/>
      <c r="BI23" s="281"/>
      <c r="BJ23" s="391">
        <f>BK23</f>
        <v>0</v>
      </c>
      <c r="BK23" s="273"/>
      <c r="BL23" s="229"/>
      <c r="BM23" s="229"/>
      <c r="BN23" s="229"/>
    </row>
    <row r="24" spans="7:66" ht="22.5">
      <c r="G24" s="195" t="s">
        <v>113</v>
      </c>
      <c r="H24" s="284" t="s">
        <v>200</v>
      </c>
      <c r="I24" s="192"/>
      <c r="J24" s="274"/>
      <c r="K24" s="192"/>
      <c r="L24" s="354">
        <v>0</v>
      </c>
      <c r="M24" s="354">
        <v>0</v>
      </c>
      <c r="N24" s="274"/>
      <c r="O24" s="274" t="s">
        <v>103</v>
      </c>
      <c r="P24" s="281"/>
      <c r="Q24" s="281"/>
      <c r="R24" s="275">
        <f t="shared" si="7"/>
        <v>0</v>
      </c>
      <c r="S24" s="272">
        <f>M24</f>
        <v>0</v>
      </c>
      <c r="T24" s="281"/>
      <c r="U24" s="281"/>
      <c r="V24" s="281"/>
      <c r="W24" s="281"/>
      <c r="X24" s="275">
        <f>Y24</f>
        <v>0</v>
      </c>
      <c r="Y24" s="272">
        <f>S24</f>
        <v>0</v>
      </c>
      <c r="Z24" s="281"/>
      <c r="AA24" s="281"/>
      <c r="AB24" s="281"/>
      <c r="AC24" s="281"/>
      <c r="AD24" s="275">
        <f>AE24</f>
        <v>0</v>
      </c>
      <c r="AE24" s="272">
        <f>Y24</f>
        <v>0</v>
      </c>
      <c r="AF24" s="281"/>
      <c r="AG24" s="281"/>
      <c r="AH24" s="281"/>
      <c r="AI24" s="281"/>
      <c r="AJ24" s="275">
        <f>AK24</f>
        <v>0</v>
      </c>
      <c r="AK24" s="272">
        <f>AE24</f>
        <v>0</v>
      </c>
      <c r="AL24" s="281"/>
      <c r="AM24" s="281"/>
      <c r="AN24" s="281"/>
      <c r="AO24" s="281"/>
      <c r="AP24" s="281"/>
      <c r="AQ24" s="281"/>
      <c r="AR24" s="391">
        <f t="shared" si="5"/>
        <v>0</v>
      </c>
      <c r="AS24" s="273"/>
      <c r="AT24" s="281"/>
      <c r="AU24" s="281"/>
      <c r="AV24" s="281"/>
      <c r="AW24" s="281"/>
      <c r="AX24" s="391">
        <f t="shared" si="6"/>
        <v>0</v>
      </c>
      <c r="AY24" s="273"/>
      <c r="AZ24" s="281"/>
      <c r="BA24" s="281"/>
      <c r="BB24" s="281"/>
      <c r="BC24" s="281"/>
      <c r="BD24" s="391">
        <f>BE24</f>
        <v>0</v>
      </c>
      <c r="BE24" s="273"/>
      <c r="BF24" s="281"/>
      <c r="BG24" s="281"/>
      <c r="BH24" s="281"/>
      <c r="BI24" s="281"/>
      <c r="BJ24" s="391">
        <f>BK24</f>
        <v>0</v>
      </c>
      <c r="BK24" s="273"/>
      <c r="BL24" s="229"/>
      <c r="BM24" s="229"/>
      <c r="BN24" s="229"/>
    </row>
    <row r="25" spans="7:66" ht="22.5">
      <c r="G25" s="195" t="s">
        <v>112</v>
      </c>
      <c r="H25" s="284" t="s">
        <v>162</v>
      </c>
      <c r="I25" s="192"/>
      <c r="J25" s="274"/>
      <c r="K25" s="192"/>
      <c r="L25" s="354">
        <v>0</v>
      </c>
      <c r="M25" s="354">
        <v>0</v>
      </c>
      <c r="N25" s="274"/>
      <c r="O25" s="274"/>
      <c r="P25" s="281"/>
      <c r="Q25" s="281"/>
      <c r="R25" s="275">
        <f t="shared" si="7"/>
        <v>0</v>
      </c>
      <c r="S25" s="272">
        <f>M25</f>
        <v>0</v>
      </c>
      <c r="T25" s="281"/>
      <c r="U25" s="281"/>
      <c r="V25" s="281"/>
      <c r="W25" s="281"/>
      <c r="X25" s="275">
        <f>Y25</f>
        <v>0</v>
      </c>
      <c r="Y25" s="272">
        <f>S25</f>
        <v>0</v>
      </c>
      <c r="Z25" s="281"/>
      <c r="AA25" s="281"/>
      <c r="AB25" s="281"/>
      <c r="AC25" s="281"/>
      <c r="AD25" s="275">
        <f>AE25</f>
        <v>0</v>
      </c>
      <c r="AE25" s="272">
        <f>Y25</f>
        <v>0</v>
      </c>
      <c r="AF25" s="281"/>
      <c r="AG25" s="281"/>
      <c r="AH25" s="281"/>
      <c r="AI25" s="281"/>
      <c r="AJ25" s="275">
        <f>AK25</f>
        <v>0</v>
      </c>
      <c r="AK25" s="272">
        <f>AE25</f>
        <v>0</v>
      </c>
      <c r="AL25" s="281"/>
      <c r="AM25" s="281"/>
      <c r="AN25" s="281"/>
      <c r="AO25" s="281"/>
      <c r="AP25" s="281"/>
      <c r="AQ25" s="281"/>
      <c r="AR25" s="391">
        <f t="shared" si="5"/>
        <v>0</v>
      </c>
      <c r="AS25" s="273"/>
      <c r="AT25" s="281"/>
      <c r="AU25" s="281"/>
      <c r="AV25" s="281"/>
      <c r="AW25" s="281"/>
      <c r="AX25" s="391">
        <f t="shared" si="6"/>
        <v>0</v>
      </c>
      <c r="AY25" s="273"/>
      <c r="AZ25" s="281"/>
      <c r="BA25" s="281"/>
      <c r="BB25" s="281"/>
      <c r="BC25" s="281"/>
      <c r="BD25" s="391">
        <f>BE25</f>
        <v>0</v>
      </c>
      <c r="BE25" s="273"/>
      <c r="BF25" s="281"/>
      <c r="BG25" s="281"/>
      <c r="BH25" s="281"/>
      <c r="BI25" s="281"/>
      <c r="BJ25" s="391">
        <f>BK25</f>
        <v>0</v>
      </c>
      <c r="BK25" s="273"/>
      <c r="BL25" s="229"/>
      <c r="BM25" s="229"/>
      <c r="BN25" s="229"/>
    </row>
    <row r="26" spans="7:66" ht="22.5">
      <c r="G26" s="195" t="s">
        <v>81</v>
      </c>
      <c r="H26" s="283" t="s">
        <v>163</v>
      </c>
      <c r="I26" s="191"/>
      <c r="J26" s="274"/>
      <c r="K26" s="191"/>
      <c r="L26" s="354">
        <v>1</v>
      </c>
      <c r="M26" s="354">
        <v>1</v>
      </c>
      <c r="N26" s="274"/>
      <c r="O26" s="276"/>
      <c r="P26" s="281"/>
      <c r="Q26" s="281"/>
      <c r="R26" s="275">
        <f t="shared" si="7"/>
        <v>1</v>
      </c>
      <c r="S26" s="272">
        <f>M26</f>
        <v>1</v>
      </c>
      <c r="T26" s="281"/>
      <c r="U26" s="281"/>
      <c r="V26" s="281"/>
      <c r="W26" s="281"/>
      <c r="X26" s="275">
        <f>Y26</f>
        <v>1</v>
      </c>
      <c r="Y26" s="272">
        <f>S26</f>
        <v>1</v>
      </c>
      <c r="Z26" s="281"/>
      <c r="AA26" s="281"/>
      <c r="AB26" s="281"/>
      <c r="AC26" s="281"/>
      <c r="AD26" s="275">
        <f>AE26</f>
        <v>1</v>
      </c>
      <c r="AE26" s="272">
        <f>Y26</f>
        <v>1</v>
      </c>
      <c r="AF26" s="281"/>
      <c r="AG26" s="281"/>
      <c r="AH26" s="281"/>
      <c r="AI26" s="281"/>
      <c r="AJ26" s="275">
        <f>AK26</f>
        <v>1</v>
      </c>
      <c r="AK26" s="272">
        <f>AE26</f>
        <v>1</v>
      </c>
      <c r="AL26" s="281"/>
      <c r="AM26" s="281"/>
      <c r="AN26" s="281"/>
      <c r="AO26" s="281"/>
      <c r="AP26" s="281"/>
      <c r="AQ26" s="281"/>
      <c r="AR26" s="391">
        <f t="shared" si="5"/>
        <v>0</v>
      </c>
      <c r="AS26" s="273"/>
      <c r="AT26" s="281"/>
      <c r="AU26" s="281"/>
      <c r="AV26" s="281"/>
      <c r="AW26" s="281"/>
      <c r="AX26" s="391">
        <f t="shared" si="6"/>
        <v>0</v>
      </c>
      <c r="AY26" s="273"/>
      <c r="AZ26" s="281"/>
      <c r="BA26" s="281"/>
      <c r="BB26" s="281"/>
      <c r="BC26" s="281"/>
      <c r="BD26" s="391">
        <f>BE26</f>
        <v>0</v>
      </c>
      <c r="BE26" s="273"/>
      <c r="BF26" s="281"/>
      <c r="BG26" s="281"/>
      <c r="BH26" s="281"/>
      <c r="BI26" s="281"/>
      <c r="BJ26" s="391">
        <f>BK26</f>
        <v>0</v>
      </c>
      <c r="BK26" s="273"/>
      <c r="BL26" s="229"/>
      <c r="BM26" s="229"/>
      <c r="BN26" s="229"/>
    </row>
    <row r="27" spans="7:66" ht="33.75">
      <c r="G27" s="195" t="s">
        <v>124</v>
      </c>
      <c r="H27" s="283" t="s">
        <v>30</v>
      </c>
      <c r="I27" s="191"/>
      <c r="J27" s="274"/>
      <c r="K27" s="191"/>
      <c r="L27" s="354">
        <v>1</v>
      </c>
      <c r="M27" s="354">
        <v>1</v>
      </c>
      <c r="N27" s="274"/>
      <c r="O27" s="274"/>
      <c r="P27" s="281"/>
      <c r="Q27" s="281"/>
      <c r="R27" s="275">
        <f t="shared" si="7"/>
        <v>1</v>
      </c>
      <c r="S27" s="272">
        <f>M27</f>
        <v>1</v>
      </c>
      <c r="T27" s="281"/>
      <c r="U27" s="281"/>
      <c r="V27" s="281"/>
      <c r="W27" s="281"/>
      <c r="X27" s="275">
        <f>Y27</f>
        <v>1</v>
      </c>
      <c r="Y27" s="272">
        <f>S27</f>
        <v>1</v>
      </c>
      <c r="Z27" s="281"/>
      <c r="AA27" s="281"/>
      <c r="AB27" s="281"/>
      <c r="AC27" s="281"/>
      <c r="AD27" s="275">
        <f>AE27</f>
        <v>1</v>
      </c>
      <c r="AE27" s="272">
        <f>Y27</f>
        <v>1</v>
      </c>
      <c r="AF27" s="281"/>
      <c r="AG27" s="281"/>
      <c r="AH27" s="281"/>
      <c r="AI27" s="281"/>
      <c r="AJ27" s="275">
        <f>AK27</f>
        <v>1</v>
      </c>
      <c r="AK27" s="272">
        <f>AE27</f>
        <v>1</v>
      </c>
      <c r="AL27" s="281"/>
      <c r="AM27" s="281"/>
      <c r="AN27" s="281"/>
      <c r="AO27" s="281"/>
      <c r="AP27" s="281"/>
      <c r="AQ27" s="281"/>
      <c r="AR27" s="391">
        <f t="shared" si="5"/>
        <v>0</v>
      </c>
      <c r="AS27" s="273"/>
      <c r="AT27" s="281"/>
      <c r="AU27" s="281"/>
      <c r="AV27" s="281"/>
      <c r="AW27" s="281"/>
      <c r="AX27" s="391">
        <f t="shared" si="6"/>
        <v>0</v>
      </c>
      <c r="AY27" s="273"/>
      <c r="AZ27" s="281"/>
      <c r="BA27" s="281"/>
      <c r="BB27" s="281"/>
      <c r="BC27" s="281"/>
      <c r="BD27" s="391">
        <f>BE27</f>
        <v>0</v>
      </c>
      <c r="BE27" s="273"/>
      <c r="BF27" s="281"/>
      <c r="BG27" s="281"/>
      <c r="BH27" s="281"/>
      <c r="BI27" s="281"/>
      <c r="BJ27" s="391">
        <f>BK27</f>
        <v>0</v>
      </c>
      <c r="BK27" s="273"/>
      <c r="BL27" s="229"/>
      <c r="BM27" s="229"/>
      <c r="BN27" s="229"/>
    </row>
    <row r="28" spans="7:66" ht="22.5">
      <c r="G28" s="195" t="s">
        <v>123</v>
      </c>
      <c r="H28" s="283" t="s">
        <v>164</v>
      </c>
      <c r="I28" s="191"/>
      <c r="J28" s="232"/>
      <c r="K28" s="191"/>
      <c r="L28" s="235"/>
      <c r="M28" s="235"/>
      <c r="N28" s="232"/>
      <c r="O28" s="232"/>
      <c r="P28" s="231"/>
      <c r="Q28" s="231"/>
      <c r="R28" s="235"/>
      <c r="S28" s="235"/>
      <c r="T28" s="231"/>
      <c r="U28" s="231"/>
      <c r="V28" s="231"/>
      <c r="W28" s="231"/>
      <c r="X28" s="235"/>
      <c r="Y28" s="235"/>
      <c r="Z28" s="231"/>
      <c r="AA28" s="231"/>
      <c r="AB28" s="231"/>
      <c r="AC28" s="231"/>
      <c r="AD28" s="235"/>
      <c r="AE28" s="235"/>
      <c r="AF28" s="231"/>
      <c r="AG28" s="231"/>
      <c r="AH28" s="231"/>
      <c r="AI28" s="231"/>
      <c r="AJ28" s="235"/>
      <c r="AK28" s="235"/>
      <c r="AL28" s="231"/>
      <c r="AM28" s="231"/>
      <c r="AN28" s="231"/>
      <c r="AO28" s="231"/>
      <c r="AP28" s="231"/>
      <c r="AQ28" s="231"/>
      <c r="AR28" s="235"/>
      <c r="AS28" s="235"/>
      <c r="AT28" s="231"/>
      <c r="AU28" s="231"/>
      <c r="AV28" s="231"/>
      <c r="AW28" s="231"/>
      <c r="AX28" s="235"/>
      <c r="AY28" s="235"/>
      <c r="AZ28" s="231"/>
      <c r="BA28" s="231"/>
      <c r="BB28" s="231"/>
      <c r="BC28" s="231"/>
      <c r="BD28" s="235"/>
      <c r="BE28" s="235"/>
      <c r="BF28" s="231"/>
      <c r="BG28" s="231"/>
      <c r="BH28" s="231"/>
      <c r="BI28" s="231"/>
      <c r="BJ28" s="235"/>
      <c r="BK28" s="235"/>
      <c r="BL28" s="229"/>
      <c r="BM28" s="229"/>
      <c r="BN28" s="229"/>
    </row>
    <row r="29" spans="7:66" ht="22.5">
      <c r="G29" s="195" t="s">
        <v>134</v>
      </c>
      <c r="H29" s="198" t="s">
        <v>271</v>
      </c>
      <c r="I29" s="363"/>
      <c r="J29" s="270"/>
      <c r="K29" s="192"/>
      <c r="L29" s="269">
        <v>16</v>
      </c>
      <c r="M29" s="269">
        <v>1201</v>
      </c>
      <c r="N29" s="270"/>
      <c r="O29" s="270"/>
      <c r="P29" s="268"/>
      <c r="Q29" s="268"/>
      <c r="R29" s="272">
        <f>S29</f>
        <v>1182.985</v>
      </c>
      <c r="S29" s="272">
        <f>IF('ф.6.4 План_Качество'!$L$10="да",M29*(1-wrk_f24_k),M29)</f>
        <v>1182.985</v>
      </c>
      <c r="T29" s="268"/>
      <c r="U29" s="268"/>
      <c r="V29" s="268"/>
      <c r="W29" s="268"/>
      <c r="X29" s="272">
        <f>Y29</f>
        <v>1165.2402249999998</v>
      </c>
      <c r="Y29" s="272">
        <f>IF('ф.6.4 План_Качество'!$L$10="да",S29*(1-wrk_f24_k),S29)</f>
        <v>1165.2402249999998</v>
      </c>
      <c r="Z29" s="268"/>
      <c r="AA29" s="268"/>
      <c r="AB29" s="268"/>
      <c r="AC29" s="268"/>
      <c r="AD29" s="272">
        <f>AE29</f>
        <v>1147.7616216249999</v>
      </c>
      <c r="AE29" s="272">
        <f>IF('ф.6.4 План_Качество'!$L$10="да",Y29*(1-wrk_f24_k),Y29)</f>
        <v>1147.7616216249999</v>
      </c>
      <c r="AF29" s="268"/>
      <c r="AG29" s="268"/>
      <c r="AH29" s="268"/>
      <c r="AI29" s="268"/>
      <c r="AJ29" s="272">
        <f>AK29</f>
        <v>1130.5451973006247</v>
      </c>
      <c r="AK29" s="272">
        <f>IF('ф.6.4 План_Качество'!$L$10="да",AE29*(1-wrk_f24_k),AE29)</f>
        <v>1130.5451973006247</v>
      </c>
      <c r="AL29" s="268"/>
      <c r="AM29" s="268"/>
      <c r="AN29" s="268"/>
      <c r="AO29" s="268"/>
      <c r="AP29" s="268"/>
      <c r="AQ29" s="268"/>
      <c r="AR29" s="389">
        <f t="shared" si="5"/>
        <v>0</v>
      </c>
      <c r="AS29" s="266"/>
      <c r="AT29" s="268"/>
      <c r="AU29" s="268"/>
      <c r="AV29" s="268"/>
      <c r="AW29" s="268"/>
      <c r="AX29" s="389">
        <f t="shared" si="6"/>
        <v>0</v>
      </c>
      <c r="AY29" s="266"/>
      <c r="AZ29" s="268"/>
      <c r="BA29" s="268"/>
      <c r="BB29" s="268"/>
      <c r="BC29" s="268"/>
      <c r="BD29" s="389">
        <f>BE29</f>
        <v>0</v>
      </c>
      <c r="BE29" s="266"/>
      <c r="BF29" s="268"/>
      <c r="BG29" s="268"/>
      <c r="BH29" s="268"/>
      <c r="BI29" s="268"/>
      <c r="BJ29" s="389">
        <f>BK29</f>
        <v>0</v>
      </c>
      <c r="BK29" s="266"/>
      <c r="BL29" s="229"/>
      <c r="BM29" s="229"/>
      <c r="BN29" s="229"/>
    </row>
    <row r="30" spans="7:66" ht="11.25">
      <c r="G30" s="195" t="s">
        <v>270</v>
      </c>
      <c r="H30" s="199" t="s">
        <v>272</v>
      </c>
      <c r="I30" s="364"/>
      <c r="J30" s="270"/>
      <c r="K30" s="193"/>
      <c r="L30" s="269">
        <v>9967</v>
      </c>
      <c r="M30" s="269">
        <v>6007</v>
      </c>
      <c r="N30" s="270"/>
      <c r="O30" s="270"/>
      <c r="P30" s="268"/>
      <c r="Q30" s="268"/>
      <c r="R30" s="272">
        <f t="shared" si="7"/>
        <v>6007</v>
      </c>
      <c r="S30" s="272">
        <f>M30</f>
        <v>6007</v>
      </c>
      <c r="T30" s="268"/>
      <c r="U30" s="268"/>
      <c r="V30" s="268"/>
      <c r="W30" s="268"/>
      <c r="X30" s="272">
        <f>Y30</f>
        <v>6097.105</v>
      </c>
      <c r="Y30" s="272">
        <f>IF('ф.6.4 План_Качество'!$L$10="да",S30*(1+wrk_f24_k),S30)</f>
        <v>6097.105</v>
      </c>
      <c r="Z30" s="268"/>
      <c r="AA30" s="268"/>
      <c r="AB30" s="268"/>
      <c r="AC30" s="268"/>
      <c r="AD30" s="272">
        <f>AE30</f>
        <v>6188.561574999999</v>
      </c>
      <c r="AE30" s="272">
        <f>IF('ф.6.4 План_Качество'!$L$10="да",Y30*(1+wrk_f24_k),Y30)</f>
        <v>6188.561574999999</v>
      </c>
      <c r="AF30" s="268"/>
      <c r="AG30" s="268"/>
      <c r="AH30" s="268"/>
      <c r="AI30" s="268"/>
      <c r="AJ30" s="272">
        <f>AK30</f>
        <v>6281.389998624998</v>
      </c>
      <c r="AK30" s="272">
        <f>IF('ф.6.4 План_Качество'!$L$10="да",AE30*(1+wrk_f24_k),AE30)</f>
        <v>6281.389998624998</v>
      </c>
      <c r="AL30" s="268"/>
      <c r="AM30" s="268"/>
      <c r="AN30" s="268"/>
      <c r="AO30" s="268"/>
      <c r="AP30" s="268"/>
      <c r="AQ30" s="268"/>
      <c r="AR30" s="389">
        <f t="shared" si="5"/>
        <v>0</v>
      </c>
      <c r="AS30" s="266"/>
      <c r="AT30" s="268"/>
      <c r="AU30" s="268"/>
      <c r="AV30" s="268"/>
      <c r="AW30" s="268"/>
      <c r="AX30" s="389">
        <f t="shared" si="6"/>
        <v>0</v>
      </c>
      <c r="AY30" s="266"/>
      <c r="AZ30" s="268"/>
      <c r="BA30" s="268"/>
      <c r="BB30" s="268"/>
      <c r="BC30" s="268"/>
      <c r="BD30" s="389">
        <f>BE30</f>
        <v>0</v>
      </c>
      <c r="BE30" s="266"/>
      <c r="BF30" s="268"/>
      <c r="BG30" s="268"/>
      <c r="BH30" s="268"/>
      <c r="BI30" s="268"/>
      <c r="BJ30" s="389">
        <f>BK30</f>
        <v>0</v>
      </c>
      <c r="BK30" s="266"/>
      <c r="BL30" s="229"/>
      <c r="BM30" s="229"/>
      <c r="BN30" s="229"/>
    </row>
    <row r="31" spans="7:66" ht="22.5">
      <c r="G31" s="195" t="s">
        <v>122</v>
      </c>
      <c r="H31" s="197" t="s">
        <v>28</v>
      </c>
      <c r="I31" s="362"/>
      <c r="J31" s="270"/>
      <c r="K31" s="191"/>
      <c r="L31" s="277"/>
      <c r="M31" s="277"/>
      <c r="N31" s="270"/>
      <c r="O31" s="271"/>
      <c r="P31" s="268"/>
      <c r="Q31" s="268"/>
      <c r="R31" s="277"/>
      <c r="S31" s="277"/>
      <c r="T31" s="268"/>
      <c r="U31" s="268"/>
      <c r="V31" s="268"/>
      <c r="W31" s="268"/>
      <c r="X31" s="277"/>
      <c r="Y31" s="277"/>
      <c r="Z31" s="268"/>
      <c r="AA31" s="268"/>
      <c r="AB31" s="268"/>
      <c r="AC31" s="268"/>
      <c r="AD31" s="277"/>
      <c r="AE31" s="277"/>
      <c r="AF31" s="268"/>
      <c r="AG31" s="268"/>
      <c r="AH31" s="268"/>
      <c r="AI31" s="268"/>
      <c r="AJ31" s="277"/>
      <c r="AK31" s="277"/>
      <c r="AL31" s="268"/>
      <c r="AM31" s="268"/>
      <c r="AN31" s="268"/>
      <c r="AO31" s="268"/>
      <c r="AP31" s="268"/>
      <c r="AQ31" s="268"/>
      <c r="AR31" s="277"/>
      <c r="AS31" s="277"/>
      <c r="AT31" s="268"/>
      <c r="AU31" s="268"/>
      <c r="AV31" s="268"/>
      <c r="AW31" s="268"/>
      <c r="AX31" s="277"/>
      <c r="AY31" s="277"/>
      <c r="AZ31" s="268"/>
      <c r="BA31" s="268"/>
      <c r="BB31" s="268"/>
      <c r="BC31" s="268"/>
      <c r="BD31" s="277"/>
      <c r="BE31" s="277"/>
      <c r="BF31" s="268"/>
      <c r="BG31" s="268"/>
      <c r="BH31" s="268"/>
      <c r="BI31" s="268"/>
      <c r="BJ31" s="277"/>
      <c r="BK31" s="277"/>
      <c r="BL31" s="229"/>
      <c r="BM31" s="229"/>
      <c r="BN31" s="229"/>
    </row>
    <row r="32" spans="7:66" ht="11.25">
      <c r="G32" s="195" t="s">
        <v>129</v>
      </c>
      <c r="H32" s="198" t="s">
        <v>31</v>
      </c>
      <c r="I32" s="363"/>
      <c r="J32" s="270"/>
      <c r="K32" s="192"/>
      <c r="L32" s="269">
        <v>341</v>
      </c>
      <c r="M32" s="269">
        <v>1201</v>
      </c>
      <c r="N32" s="270"/>
      <c r="O32" s="271"/>
      <c r="P32" s="268"/>
      <c r="Q32" s="268"/>
      <c r="R32" s="272">
        <f t="shared" si="7"/>
        <v>1182.985</v>
      </c>
      <c r="S32" s="272">
        <f>IF('ф.6.4 План_Качество'!$L$10="да",M32*(1-wrk_f24_k),M32)</f>
        <v>1182.985</v>
      </c>
      <c r="T32" s="268"/>
      <c r="U32" s="268"/>
      <c r="V32" s="268"/>
      <c r="W32" s="268"/>
      <c r="X32" s="272">
        <f>Y32</f>
        <v>1165.2402249999998</v>
      </c>
      <c r="Y32" s="272">
        <f>IF('ф.6.4 План_Качество'!$L$10="да",S32*(1-wrk_f24_k),S32)</f>
        <v>1165.2402249999998</v>
      </c>
      <c r="Z32" s="268"/>
      <c r="AA32" s="268"/>
      <c r="AB32" s="268"/>
      <c r="AC32" s="268"/>
      <c r="AD32" s="272">
        <f>AE32</f>
        <v>1147.7616216249999</v>
      </c>
      <c r="AE32" s="272">
        <f>IF('ф.6.4 План_Качество'!$L$10="да",Y32*(1-wrk_f24_k),Y32)</f>
        <v>1147.7616216249999</v>
      </c>
      <c r="AF32" s="268"/>
      <c r="AG32" s="268"/>
      <c r="AH32" s="268"/>
      <c r="AI32" s="268"/>
      <c r="AJ32" s="272">
        <f>AK32</f>
        <v>1130.5451973006247</v>
      </c>
      <c r="AK32" s="272">
        <f>IF('ф.6.4 План_Качество'!$L$10="да",AE32*(1-wrk_f24_k),AE32)</f>
        <v>1130.5451973006247</v>
      </c>
      <c r="AL32" s="268"/>
      <c r="AM32" s="268"/>
      <c r="AN32" s="268"/>
      <c r="AO32" s="268"/>
      <c r="AP32" s="268"/>
      <c r="AQ32" s="268"/>
      <c r="AR32" s="389">
        <f t="shared" si="5"/>
        <v>0</v>
      </c>
      <c r="AS32" s="266"/>
      <c r="AT32" s="268"/>
      <c r="AU32" s="268"/>
      <c r="AV32" s="268"/>
      <c r="AW32" s="268"/>
      <c r="AX32" s="389">
        <f t="shared" si="6"/>
        <v>0</v>
      </c>
      <c r="AY32" s="266"/>
      <c r="AZ32" s="268"/>
      <c r="BA32" s="268"/>
      <c r="BB32" s="268"/>
      <c r="BC32" s="268"/>
      <c r="BD32" s="389">
        <f>BE32</f>
        <v>0</v>
      </c>
      <c r="BE32" s="266"/>
      <c r="BF32" s="268"/>
      <c r="BG32" s="268"/>
      <c r="BH32" s="268"/>
      <c r="BI32" s="268"/>
      <c r="BJ32" s="389">
        <f>BK32</f>
        <v>0</v>
      </c>
      <c r="BK32" s="266"/>
      <c r="BL32" s="229"/>
      <c r="BM32" s="229"/>
      <c r="BN32" s="229"/>
    </row>
    <row r="33" spans="7:66" ht="11.25">
      <c r="G33" s="195" t="s">
        <v>35</v>
      </c>
      <c r="H33" s="199" t="s">
        <v>32</v>
      </c>
      <c r="I33" s="364"/>
      <c r="J33" s="270"/>
      <c r="K33" s="193"/>
      <c r="L33" s="272">
        <f>L30</f>
        <v>9967</v>
      </c>
      <c r="M33" s="272">
        <f>M30</f>
        <v>6007</v>
      </c>
      <c r="N33" s="270"/>
      <c r="O33" s="271"/>
      <c r="P33" s="268"/>
      <c r="Q33" s="268"/>
      <c r="R33" s="272">
        <f t="shared" si="7"/>
        <v>6007</v>
      </c>
      <c r="S33" s="272">
        <f>M33</f>
        <v>6007</v>
      </c>
      <c r="T33" s="268"/>
      <c r="U33" s="268"/>
      <c r="V33" s="268"/>
      <c r="W33" s="268"/>
      <c r="X33" s="272">
        <f>Y33</f>
        <v>6097.105</v>
      </c>
      <c r="Y33" s="272">
        <f>IF('ф.6.4 План_Качество'!$L$10="да",S33*(1+wrk_f24_k),S33)</f>
        <v>6097.105</v>
      </c>
      <c r="Z33" s="268"/>
      <c r="AA33" s="268"/>
      <c r="AB33" s="268"/>
      <c r="AC33" s="268"/>
      <c r="AD33" s="272">
        <f>AE33</f>
        <v>6188.561574999999</v>
      </c>
      <c r="AE33" s="272">
        <f>IF('ф.6.4 План_Качество'!$L$10="да",Y33*(1+wrk_f24_k),Y33)</f>
        <v>6188.561574999999</v>
      </c>
      <c r="AF33" s="268"/>
      <c r="AG33" s="268"/>
      <c r="AH33" s="268"/>
      <c r="AI33" s="268"/>
      <c r="AJ33" s="272">
        <f>AK33</f>
        <v>6281.389998624998</v>
      </c>
      <c r="AK33" s="272">
        <f>IF('ф.6.4 План_Качество'!$L$10="да",AE33*(1+wrk_f24_k),AE33)</f>
        <v>6281.389998624998</v>
      </c>
      <c r="AL33" s="268"/>
      <c r="AM33" s="268"/>
      <c r="AN33" s="268"/>
      <c r="AO33" s="268"/>
      <c r="AP33" s="268"/>
      <c r="AQ33" s="268"/>
      <c r="AR33" s="389">
        <f t="shared" si="5"/>
        <v>0</v>
      </c>
      <c r="AS33" s="266"/>
      <c r="AT33" s="268"/>
      <c r="AU33" s="268"/>
      <c r="AV33" s="268"/>
      <c r="AW33" s="268"/>
      <c r="AX33" s="389">
        <f t="shared" si="6"/>
        <v>0</v>
      </c>
      <c r="AY33" s="266"/>
      <c r="AZ33" s="268"/>
      <c r="BA33" s="268"/>
      <c r="BB33" s="268"/>
      <c r="BC33" s="268"/>
      <c r="BD33" s="389">
        <f>BE33</f>
        <v>0</v>
      </c>
      <c r="BE33" s="266"/>
      <c r="BF33" s="268"/>
      <c r="BG33" s="268"/>
      <c r="BH33" s="268"/>
      <c r="BI33" s="268"/>
      <c r="BJ33" s="389">
        <f>BK33</f>
        <v>0</v>
      </c>
      <c r="BK33" s="266"/>
      <c r="BL33" s="229"/>
      <c r="BM33" s="229"/>
      <c r="BN33" s="229"/>
    </row>
    <row r="34" spans="7:66" ht="22.5">
      <c r="G34" s="195" t="s">
        <v>128</v>
      </c>
      <c r="H34" s="198" t="s">
        <v>33</v>
      </c>
      <c r="I34" s="363"/>
      <c r="J34" s="270"/>
      <c r="K34" s="192"/>
      <c r="L34" s="269">
        <v>3</v>
      </c>
      <c r="M34" s="269">
        <v>5</v>
      </c>
      <c r="N34" s="270"/>
      <c r="O34" s="270"/>
      <c r="P34" s="268"/>
      <c r="Q34" s="268"/>
      <c r="R34" s="272">
        <f t="shared" si="7"/>
        <v>4.925</v>
      </c>
      <c r="S34" s="272">
        <f>IF('ф.6.4 План_Качество'!$L$10="да",M34*(1-wrk_f24_k),M34)</f>
        <v>4.925</v>
      </c>
      <c r="T34" s="268"/>
      <c r="U34" s="268"/>
      <c r="V34" s="268"/>
      <c r="W34" s="268"/>
      <c r="X34" s="272">
        <f>Y34</f>
        <v>4.851125</v>
      </c>
      <c r="Y34" s="272">
        <f>IF('ф.6.4 План_Качество'!$L$10="да",S34*(1-wrk_f24_k),S34)</f>
        <v>4.851125</v>
      </c>
      <c r="Z34" s="268"/>
      <c r="AA34" s="268"/>
      <c r="AB34" s="268"/>
      <c r="AC34" s="268"/>
      <c r="AD34" s="272">
        <f>AE34</f>
        <v>4.778358125</v>
      </c>
      <c r="AE34" s="272">
        <f>IF('ф.6.4 План_Качество'!$L$10="да",Y34*(1-wrk_f24_k),Y34)</f>
        <v>4.778358125</v>
      </c>
      <c r="AF34" s="268"/>
      <c r="AG34" s="268"/>
      <c r="AH34" s="268"/>
      <c r="AI34" s="268"/>
      <c r="AJ34" s="272">
        <f>AK34</f>
        <v>4.7066827531249995</v>
      </c>
      <c r="AK34" s="272">
        <f>IF('ф.6.4 План_Качество'!$L$10="да",AE34*(1-wrk_f24_k),AE34)</f>
        <v>4.7066827531249995</v>
      </c>
      <c r="AL34" s="268"/>
      <c r="AM34" s="268"/>
      <c r="AN34" s="268"/>
      <c r="AO34" s="268"/>
      <c r="AP34" s="268"/>
      <c r="AQ34" s="268"/>
      <c r="AR34" s="389">
        <f t="shared" si="5"/>
        <v>0</v>
      </c>
      <c r="AS34" s="266"/>
      <c r="AT34" s="268"/>
      <c r="AU34" s="268"/>
      <c r="AV34" s="268"/>
      <c r="AW34" s="268"/>
      <c r="AX34" s="389">
        <f t="shared" si="6"/>
        <v>0</v>
      </c>
      <c r="AY34" s="266"/>
      <c r="AZ34" s="268"/>
      <c r="BA34" s="268"/>
      <c r="BB34" s="268"/>
      <c r="BC34" s="268"/>
      <c r="BD34" s="389">
        <f>BE34</f>
        <v>0</v>
      </c>
      <c r="BE34" s="266"/>
      <c r="BF34" s="268"/>
      <c r="BG34" s="268"/>
      <c r="BH34" s="268"/>
      <c r="BI34" s="268"/>
      <c r="BJ34" s="389">
        <f>BK34</f>
        <v>0</v>
      </c>
      <c r="BK34" s="266"/>
      <c r="BL34" s="229"/>
      <c r="BM34" s="229"/>
      <c r="BN34" s="229"/>
    </row>
    <row r="35" spans="7:66" ht="11.25">
      <c r="G35" s="195" t="s">
        <v>36</v>
      </c>
      <c r="H35" s="199" t="s">
        <v>34</v>
      </c>
      <c r="I35" s="364"/>
      <c r="J35" s="270"/>
      <c r="K35" s="193"/>
      <c r="L35" s="272">
        <f>L30</f>
        <v>9967</v>
      </c>
      <c r="M35" s="272">
        <f>M30</f>
        <v>6007</v>
      </c>
      <c r="N35" s="270"/>
      <c r="O35" s="270"/>
      <c r="P35" s="268"/>
      <c r="Q35" s="268"/>
      <c r="R35" s="272">
        <f t="shared" si="7"/>
        <v>6007</v>
      </c>
      <c r="S35" s="272">
        <f>M35</f>
        <v>6007</v>
      </c>
      <c r="T35" s="268"/>
      <c r="U35" s="268"/>
      <c r="V35" s="268"/>
      <c r="W35" s="268"/>
      <c r="X35" s="272">
        <f>Y35</f>
        <v>6097.105</v>
      </c>
      <c r="Y35" s="272">
        <f>IF('ф.6.4 План_Качество'!$L$10="да",S35*(1+wrk_f24_k),S35)</f>
        <v>6097.105</v>
      </c>
      <c r="Z35" s="268"/>
      <c r="AA35" s="268"/>
      <c r="AB35" s="268"/>
      <c r="AC35" s="268"/>
      <c r="AD35" s="272">
        <f>AE35</f>
        <v>6188.561574999999</v>
      </c>
      <c r="AE35" s="272">
        <f>IF('ф.6.4 План_Качество'!$L$10="да",Y35*(1+wrk_f24_k),Y35)</f>
        <v>6188.561574999999</v>
      </c>
      <c r="AF35" s="268"/>
      <c r="AG35" s="268"/>
      <c r="AH35" s="268"/>
      <c r="AI35" s="268"/>
      <c r="AJ35" s="272">
        <f>AK35</f>
        <v>6281.389998624998</v>
      </c>
      <c r="AK35" s="272">
        <f>IF('ф.6.4 План_Качество'!$L$10="да",AE35*(1+wrk_f24_k),AE35)</f>
        <v>6281.389998624998</v>
      </c>
      <c r="AL35" s="268"/>
      <c r="AM35" s="268"/>
      <c r="AN35" s="268"/>
      <c r="AO35" s="268"/>
      <c r="AP35" s="268"/>
      <c r="AQ35" s="268"/>
      <c r="AR35" s="389">
        <f t="shared" si="5"/>
        <v>0</v>
      </c>
      <c r="AS35" s="266"/>
      <c r="AT35" s="268"/>
      <c r="AU35" s="268"/>
      <c r="AV35" s="268"/>
      <c r="AW35" s="268"/>
      <c r="AX35" s="389">
        <f t="shared" si="6"/>
        <v>0</v>
      </c>
      <c r="AY35" s="266"/>
      <c r="AZ35" s="268"/>
      <c r="BA35" s="268"/>
      <c r="BB35" s="268"/>
      <c r="BC35" s="268"/>
      <c r="BD35" s="389">
        <f>BE35</f>
        <v>0</v>
      </c>
      <c r="BE35" s="266"/>
      <c r="BF35" s="268"/>
      <c r="BG35" s="268"/>
      <c r="BH35" s="268"/>
      <c r="BI35" s="268"/>
      <c r="BJ35" s="389">
        <f>BK35</f>
        <v>0</v>
      </c>
      <c r="BK35" s="266"/>
      <c r="BL35" s="229"/>
      <c r="BM35" s="229"/>
      <c r="BN35" s="229"/>
    </row>
    <row r="36" spans="7:66" ht="11.25">
      <c r="G36" s="76"/>
      <c r="H36" s="138"/>
      <c r="I36" s="138"/>
      <c r="J36" s="424"/>
      <c r="K36" s="138"/>
      <c r="L36" s="236"/>
      <c r="M36" s="236"/>
      <c r="N36" s="236"/>
      <c r="O36" s="237"/>
      <c r="P36" s="237"/>
      <c r="Q36" s="237"/>
      <c r="R36" s="232"/>
      <c r="S36" s="233"/>
      <c r="T36" s="229"/>
      <c r="U36" s="229"/>
      <c r="V36" s="229"/>
      <c r="W36" s="229"/>
      <c r="X36" s="232"/>
      <c r="Y36" s="233"/>
      <c r="Z36" s="229"/>
      <c r="AA36" s="229"/>
      <c r="AB36" s="229"/>
      <c r="AC36" s="229"/>
      <c r="AD36" s="232"/>
      <c r="AE36" s="233"/>
      <c r="AF36" s="229"/>
      <c r="AG36" s="229"/>
      <c r="AH36" s="229"/>
      <c r="AI36" s="229"/>
      <c r="AJ36" s="232"/>
      <c r="AK36" s="233"/>
      <c r="AL36" s="229"/>
      <c r="AM36" s="229"/>
      <c r="AN36" s="229"/>
      <c r="AO36" s="229"/>
      <c r="AP36" s="229"/>
      <c r="AQ36" s="229"/>
      <c r="AR36" s="232"/>
      <c r="AS36" s="233"/>
      <c r="AT36" s="229"/>
      <c r="AU36" s="229"/>
      <c r="AV36" s="229"/>
      <c r="AW36" s="229"/>
      <c r="AX36" s="232"/>
      <c r="AY36" s="233"/>
      <c r="AZ36" s="229"/>
      <c r="BA36" s="229"/>
      <c r="BB36" s="229"/>
      <c r="BC36" s="229"/>
      <c r="BD36" s="232"/>
      <c r="BE36" s="233"/>
      <c r="BF36" s="229"/>
      <c r="BG36" s="229"/>
      <c r="BH36" s="229"/>
      <c r="BI36" s="229"/>
      <c r="BJ36" s="232"/>
      <c r="BK36" s="233"/>
      <c r="BL36" s="229"/>
      <c r="BM36" s="229"/>
      <c r="BN36" s="229"/>
    </row>
    <row r="37" spans="7:66" ht="11.25">
      <c r="G37" s="76"/>
      <c r="H37" s="83"/>
      <c r="I37" s="83"/>
      <c r="J37" s="49"/>
      <c r="K37" s="83"/>
      <c r="L37" s="238"/>
      <c r="M37" s="238"/>
      <c r="N37" s="238"/>
      <c r="O37" s="239"/>
      <c r="P37" s="239"/>
      <c r="Q37" s="239"/>
      <c r="R37" s="232"/>
      <c r="S37" s="232"/>
      <c r="T37" s="229"/>
      <c r="U37" s="229"/>
      <c r="V37" s="229"/>
      <c r="W37" s="229"/>
      <c r="X37" s="232"/>
      <c r="Y37" s="232"/>
      <c r="Z37" s="229"/>
      <c r="AA37" s="229"/>
      <c r="AB37" s="229"/>
      <c r="AC37" s="229"/>
      <c r="AD37" s="232"/>
      <c r="AE37" s="232"/>
      <c r="AF37" s="229"/>
      <c r="AG37" s="229"/>
      <c r="AH37" s="229"/>
      <c r="AI37" s="229"/>
      <c r="AJ37" s="232"/>
      <c r="AK37" s="232"/>
      <c r="AL37" s="229"/>
      <c r="AM37" s="229"/>
      <c r="AN37" s="229"/>
      <c r="AO37" s="229"/>
      <c r="AP37" s="229"/>
      <c r="AQ37" s="229"/>
      <c r="AR37" s="232"/>
      <c r="AS37" s="232"/>
      <c r="AT37" s="229"/>
      <c r="AU37" s="229"/>
      <c r="AV37" s="229"/>
      <c r="AW37" s="229"/>
      <c r="AX37" s="232"/>
      <c r="AY37" s="232"/>
      <c r="AZ37" s="229"/>
      <c r="BA37" s="229"/>
      <c r="BB37" s="229"/>
      <c r="BC37" s="229"/>
      <c r="BD37" s="232"/>
      <c r="BE37" s="232"/>
      <c r="BF37" s="229"/>
      <c r="BG37" s="229"/>
      <c r="BH37" s="229"/>
      <c r="BI37" s="229"/>
      <c r="BJ37" s="232"/>
      <c r="BK37" s="232"/>
      <c r="BL37" s="229"/>
      <c r="BM37" s="229"/>
      <c r="BN37" s="229"/>
    </row>
    <row r="38" spans="7:66" ht="11.25">
      <c r="G38" s="76"/>
      <c r="H38" s="83"/>
      <c r="I38" s="83"/>
      <c r="J38" s="49"/>
      <c r="K38" s="83"/>
      <c r="L38" s="238"/>
      <c r="M38" s="238"/>
      <c r="N38" s="238"/>
      <c r="O38" s="239"/>
      <c r="P38" s="240"/>
      <c r="Q38" s="240"/>
      <c r="R38" s="232"/>
      <c r="S38" s="232"/>
      <c r="T38" s="229"/>
      <c r="U38" s="229"/>
      <c r="V38" s="229"/>
      <c r="W38" s="229"/>
      <c r="X38" s="232"/>
      <c r="Y38" s="232"/>
      <c r="Z38" s="229"/>
      <c r="AA38" s="229"/>
      <c r="AB38" s="229"/>
      <c r="AC38" s="229"/>
      <c r="AD38" s="232"/>
      <c r="AE38" s="232"/>
      <c r="AF38" s="229"/>
      <c r="AG38" s="229"/>
      <c r="AH38" s="229"/>
      <c r="AI38" s="229"/>
      <c r="AJ38" s="232"/>
      <c r="AK38" s="232"/>
      <c r="AL38" s="229"/>
      <c r="AM38" s="229"/>
      <c r="AN38" s="229"/>
      <c r="AO38" s="229"/>
      <c r="AP38" s="229"/>
      <c r="AQ38" s="229"/>
      <c r="AR38" s="232"/>
      <c r="AS38" s="232"/>
      <c r="AT38" s="229"/>
      <c r="AU38" s="229"/>
      <c r="AV38" s="229"/>
      <c r="AW38" s="229"/>
      <c r="AX38" s="232"/>
      <c r="AY38" s="232"/>
      <c r="AZ38" s="229"/>
      <c r="BA38" s="229"/>
      <c r="BB38" s="229"/>
      <c r="BC38" s="229"/>
      <c r="BD38" s="232"/>
      <c r="BE38" s="232"/>
      <c r="BF38" s="229"/>
      <c r="BG38" s="229"/>
      <c r="BH38" s="229"/>
      <c r="BI38" s="229"/>
      <c r="BJ38" s="232"/>
      <c r="BK38" s="232"/>
      <c r="BL38" s="229"/>
      <c r="BM38" s="229"/>
      <c r="BN38" s="229"/>
    </row>
    <row r="39" spans="7:66" ht="11.25">
      <c r="G39" s="621" t="s">
        <v>127</v>
      </c>
      <c r="H39" s="621"/>
      <c r="I39" s="360"/>
      <c r="J39" s="360"/>
      <c r="K39" s="104"/>
      <c r="L39" s="625" t="str">
        <f>IF(prd&lt;&gt;"",prd&amp;" год","Не определено")</f>
        <v>2014 год</v>
      </c>
      <c r="M39" s="626"/>
      <c r="N39" s="626"/>
      <c r="O39" s="626"/>
      <c r="P39" s="627"/>
      <c r="Q39" s="241"/>
      <c r="R39" s="232"/>
      <c r="S39" s="232"/>
      <c r="T39" s="229"/>
      <c r="U39" s="229"/>
      <c r="V39" s="229"/>
      <c r="W39" s="229"/>
      <c r="X39" s="232"/>
      <c r="Y39" s="232"/>
      <c r="Z39" s="229"/>
      <c r="AA39" s="229"/>
      <c r="AB39" s="229"/>
      <c r="AC39" s="229"/>
      <c r="AD39" s="232"/>
      <c r="AE39" s="232"/>
      <c r="AF39" s="229"/>
      <c r="AG39" s="229"/>
      <c r="AH39" s="229"/>
      <c r="AI39" s="229"/>
      <c r="AJ39" s="232"/>
      <c r="AK39" s="232"/>
      <c r="AL39" s="229"/>
      <c r="AM39" s="229"/>
      <c r="AN39" s="229"/>
      <c r="AO39" s="229"/>
      <c r="AP39" s="229"/>
      <c r="AQ39" s="229"/>
      <c r="AR39" s="232"/>
      <c r="AS39" s="232"/>
      <c r="AT39" s="229"/>
      <c r="AU39" s="229"/>
      <c r="AV39" s="229"/>
      <c r="AW39" s="229"/>
      <c r="AX39" s="232"/>
      <c r="AY39" s="232"/>
      <c r="AZ39" s="229"/>
      <c r="BA39" s="229"/>
      <c r="BB39" s="229"/>
      <c r="BC39" s="229"/>
      <c r="BD39" s="232"/>
      <c r="BE39" s="232"/>
      <c r="BF39" s="229"/>
      <c r="BG39" s="229"/>
      <c r="BH39" s="229"/>
      <c r="BI39" s="229"/>
      <c r="BJ39" s="232"/>
      <c r="BK39" s="232"/>
      <c r="BL39" s="229"/>
      <c r="BM39" s="229"/>
      <c r="BN39" s="229"/>
    </row>
    <row r="40" spans="7:66" ht="12" customHeight="1">
      <c r="G40" s="622" t="str">
        <f>IF(org&lt;&gt;"",org,"Организация не определена")</f>
        <v>ОАО "Новгородоблэлектро"</v>
      </c>
      <c r="H40" s="622"/>
      <c r="I40" s="355"/>
      <c r="J40" s="355"/>
      <c r="K40" s="161"/>
      <c r="L40" s="628"/>
      <c r="M40" s="629"/>
      <c r="N40" s="629"/>
      <c r="O40" s="629"/>
      <c r="P40" s="630"/>
      <c r="Q40" s="242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</row>
    <row r="41" spans="7:66" ht="23.25" customHeight="1">
      <c r="G41" s="633" t="s">
        <v>267</v>
      </c>
      <c r="H41" s="633" t="s">
        <v>126</v>
      </c>
      <c r="I41" s="152"/>
      <c r="J41" s="423"/>
      <c r="K41" s="152"/>
      <c r="L41" s="613" t="s">
        <v>209</v>
      </c>
      <c r="M41" s="613"/>
      <c r="N41" s="613" t="s">
        <v>211</v>
      </c>
      <c r="O41" s="613" t="s">
        <v>125</v>
      </c>
      <c r="P41" s="613" t="s">
        <v>220</v>
      </c>
      <c r="Q41" s="243"/>
      <c r="R41" s="617" t="s">
        <v>209</v>
      </c>
      <c r="S41" s="618"/>
      <c r="T41" s="612" t="s">
        <v>211</v>
      </c>
      <c r="U41" s="612" t="s">
        <v>125</v>
      </c>
      <c r="V41" s="612" t="s">
        <v>220</v>
      </c>
      <c r="W41" s="243"/>
      <c r="X41" s="617" t="s">
        <v>209</v>
      </c>
      <c r="Y41" s="618"/>
      <c r="Z41" s="612" t="s">
        <v>211</v>
      </c>
      <c r="AA41" s="612" t="s">
        <v>125</v>
      </c>
      <c r="AB41" s="612" t="s">
        <v>220</v>
      </c>
      <c r="AC41" s="229"/>
      <c r="AD41" s="617" t="s">
        <v>209</v>
      </c>
      <c r="AE41" s="618"/>
      <c r="AF41" s="612" t="s">
        <v>211</v>
      </c>
      <c r="AG41" s="612" t="s">
        <v>125</v>
      </c>
      <c r="AH41" s="612" t="s">
        <v>220</v>
      </c>
      <c r="AI41" s="229"/>
      <c r="AJ41" s="617" t="s">
        <v>209</v>
      </c>
      <c r="AK41" s="618"/>
      <c r="AL41" s="612" t="s">
        <v>211</v>
      </c>
      <c r="AM41" s="612" t="s">
        <v>125</v>
      </c>
      <c r="AN41" s="612" t="s">
        <v>220</v>
      </c>
      <c r="AO41" s="229"/>
      <c r="AP41" s="229"/>
      <c r="AQ41" s="229"/>
      <c r="AR41" s="631" t="s">
        <v>209</v>
      </c>
      <c r="AS41" s="632"/>
      <c r="AT41" s="612" t="s">
        <v>211</v>
      </c>
      <c r="AU41" s="612" t="s">
        <v>125</v>
      </c>
      <c r="AV41" s="612" t="s">
        <v>220</v>
      </c>
      <c r="AW41" s="243"/>
      <c r="AX41" s="631" t="s">
        <v>209</v>
      </c>
      <c r="AY41" s="632"/>
      <c r="AZ41" s="612" t="s">
        <v>211</v>
      </c>
      <c r="BA41" s="612" t="s">
        <v>125</v>
      </c>
      <c r="BB41" s="612" t="s">
        <v>220</v>
      </c>
      <c r="BC41" s="229"/>
      <c r="BD41" s="631" t="s">
        <v>209</v>
      </c>
      <c r="BE41" s="632"/>
      <c r="BF41" s="612" t="s">
        <v>211</v>
      </c>
      <c r="BG41" s="612" t="s">
        <v>125</v>
      </c>
      <c r="BH41" s="612" t="s">
        <v>220</v>
      </c>
      <c r="BI41" s="229"/>
      <c r="BJ41" s="631" t="s">
        <v>209</v>
      </c>
      <c r="BK41" s="632"/>
      <c r="BL41" s="612" t="s">
        <v>211</v>
      </c>
      <c r="BM41" s="612" t="s">
        <v>125</v>
      </c>
      <c r="BN41" s="612" t="s">
        <v>220</v>
      </c>
    </row>
    <row r="42" spans="7:66" ht="22.5">
      <c r="G42" s="633"/>
      <c r="H42" s="633"/>
      <c r="I42" s="152"/>
      <c r="J42" s="425"/>
      <c r="K42" s="90"/>
      <c r="L42" s="244" t="s">
        <v>223</v>
      </c>
      <c r="M42" s="244" t="s">
        <v>224</v>
      </c>
      <c r="N42" s="634"/>
      <c r="O42" s="634"/>
      <c r="P42" s="634"/>
      <c r="Q42" s="233"/>
      <c r="R42" s="337" t="s">
        <v>223</v>
      </c>
      <c r="S42" s="337" t="s">
        <v>224</v>
      </c>
      <c r="T42" s="613"/>
      <c r="U42" s="613"/>
      <c r="V42" s="613"/>
      <c r="W42" s="233"/>
      <c r="X42" s="337" t="s">
        <v>223</v>
      </c>
      <c r="Y42" s="337" t="s">
        <v>224</v>
      </c>
      <c r="Z42" s="613"/>
      <c r="AA42" s="613"/>
      <c r="AB42" s="613"/>
      <c r="AC42" s="229"/>
      <c r="AD42" s="337" t="s">
        <v>223</v>
      </c>
      <c r="AE42" s="337" t="s">
        <v>224</v>
      </c>
      <c r="AF42" s="613"/>
      <c r="AG42" s="613"/>
      <c r="AH42" s="613"/>
      <c r="AI42" s="229"/>
      <c r="AJ42" s="337" t="s">
        <v>223</v>
      </c>
      <c r="AK42" s="337" t="s">
        <v>224</v>
      </c>
      <c r="AL42" s="613"/>
      <c r="AM42" s="613"/>
      <c r="AN42" s="613"/>
      <c r="AO42" s="229"/>
      <c r="AP42" s="229"/>
      <c r="AQ42" s="229"/>
      <c r="AR42" s="244" t="s">
        <v>223</v>
      </c>
      <c r="AS42" s="244" t="s">
        <v>224</v>
      </c>
      <c r="AT42" s="613"/>
      <c r="AU42" s="613"/>
      <c r="AV42" s="613"/>
      <c r="AW42" s="233"/>
      <c r="AX42" s="244" t="s">
        <v>223</v>
      </c>
      <c r="AY42" s="244" t="s">
        <v>224</v>
      </c>
      <c r="AZ42" s="613"/>
      <c r="BA42" s="613"/>
      <c r="BB42" s="613"/>
      <c r="BC42" s="229"/>
      <c r="BD42" s="244" t="s">
        <v>223</v>
      </c>
      <c r="BE42" s="244" t="s">
        <v>224</v>
      </c>
      <c r="BF42" s="613"/>
      <c r="BG42" s="613"/>
      <c r="BH42" s="613"/>
      <c r="BI42" s="229"/>
      <c r="BJ42" s="244" t="s">
        <v>223</v>
      </c>
      <c r="BK42" s="244" t="s">
        <v>224</v>
      </c>
      <c r="BL42" s="613"/>
      <c r="BM42" s="613"/>
      <c r="BN42" s="613"/>
    </row>
    <row r="43" spans="7:66" s="397" customFormat="1" ht="11.25">
      <c r="G43" s="409" t="s">
        <v>84</v>
      </c>
      <c r="H43" s="409" t="s">
        <v>80</v>
      </c>
      <c r="I43" s="410"/>
      <c r="J43" s="413"/>
      <c r="K43" s="411"/>
      <c r="L43" s="412" t="s">
        <v>81</v>
      </c>
      <c r="M43" s="412" t="s">
        <v>124</v>
      </c>
      <c r="N43" s="412" t="s">
        <v>123</v>
      </c>
      <c r="O43" s="412" t="s">
        <v>122</v>
      </c>
      <c r="P43" s="412" t="s">
        <v>121</v>
      </c>
      <c r="Q43" s="413"/>
      <c r="R43" s="414">
        <v>8</v>
      </c>
      <c r="S43" s="414">
        <v>9</v>
      </c>
      <c r="T43" s="412">
        <v>10</v>
      </c>
      <c r="U43" s="412">
        <v>11</v>
      </c>
      <c r="V43" s="412">
        <v>12</v>
      </c>
      <c r="W43" s="413"/>
      <c r="X43" s="414">
        <v>13</v>
      </c>
      <c r="Y43" s="414">
        <v>14</v>
      </c>
      <c r="Z43" s="412">
        <v>15</v>
      </c>
      <c r="AA43" s="412">
        <v>16</v>
      </c>
      <c r="AB43" s="412">
        <v>17</v>
      </c>
      <c r="AC43" s="415"/>
      <c r="AD43" s="414">
        <v>18</v>
      </c>
      <c r="AE43" s="414">
        <v>19</v>
      </c>
      <c r="AF43" s="412">
        <v>20</v>
      </c>
      <c r="AG43" s="412">
        <v>21</v>
      </c>
      <c r="AH43" s="412">
        <v>22</v>
      </c>
      <c r="AI43" s="415"/>
      <c r="AJ43" s="414">
        <v>23</v>
      </c>
      <c r="AK43" s="414">
        <v>24</v>
      </c>
      <c r="AL43" s="412">
        <v>25</v>
      </c>
      <c r="AM43" s="412">
        <v>26</v>
      </c>
      <c r="AN43" s="412">
        <v>27</v>
      </c>
      <c r="AO43" s="415"/>
      <c r="AP43" s="415"/>
      <c r="AQ43" s="415"/>
      <c r="AR43" s="412">
        <v>8</v>
      </c>
      <c r="AS43" s="412">
        <v>9</v>
      </c>
      <c r="AT43" s="412">
        <v>10</v>
      </c>
      <c r="AU43" s="412">
        <v>11</v>
      </c>
      <c r="AV43" s="412">
        <v>12</v>
      </c>
      <c r="AW43" s="413"/>
      <c r="AX43" s="412">
        <v>13</v>
      </c>
      <c r="AY43" s="412">
        <v>14</v>
      </c>
      <c r="AZ43" s="412">
        <v>15</v>
      </c>
      <c r="BA43" s="412">
        <v>16</v>
      </c>
      <c r="BB43" s="412">
        <v>17</v>
      </c>
      <c r="BC43" s="415"/>
      <c r="BD43" s="412">
        <v>18</v>
      </c>
      <c r="BE43" s="412">
        <v>19</v>
      </c>
      <c r="BF43" s="412">
        <v>20</v>
      </c>
      <c r="BG43" s="412">
        <v>21</v>
      </c>
      <c r="BH43" s="412">
        <v>22</v>
      </c>
      <c r="BI43" s="415"/>
      <c r="BJ43" s="412">
        <v>23</v>
      </c>
      <c r="BK43" s="412">
        <v>24</v>
      </c>
      <c r="BL43" s="412">
        <v>25</v>
      </c>
      <c r="BM43" s="412">
        <v>26</v>
      </c>
      <c r="BN43" s="412">
        <v>27</v>
      </c>
    </row>
    <row r="44" spans="7:66" ht="22.5">
      <c r="G44" s="195" t="s">
        <v>84</v>
      </c>
      <c r="H44" s="201" t="s">
        <v>274</v>
      </c>
      <c r="I44" s="83"/>
      <c r="J44" s="232"/>
      <c r="K44" s="49"/>
      <c r="L44" s="245"/>
      <c r="M44" s="245"/>
      <c r="N44" s="245"/>
      <c r="O44" s="245"/>
      <c r="P44" s="234">
        <f>(P46+P47)/2</f>
        <v>2</v>
      </c>
      <c r="Q44" s="232"/>
      <c r="R44" s="235"/>
      <c r="S44" s="235"/>
      <c r="T44" s="245"/>
      <c r="U44" s="245"/>
      <c r="V44" s="234">
        <f>(V46+V47)/2</f>
        <v>2</v>
      </c>
      <c r="W44" s="232"/>
      <c r="X44" s="235"/>
      <c r="Y44" s="235"/>
      <c r="Z44" s="245"/>
      <c r="AA44" s="245"/>
      <c r="AB44" s="234">
        <f>(AB46+AB47)/2</f>
        <v>2</v>
      </c>
      <c r="AC44" s="229"/>
      <c r="AD44" s="235"/>
      <c r="AE44" s="235"/>
      <c r="AF44" s="245"/>
      <c r="AG44" s="245"/>
      <c r="AH44" s="234">
        <f>(AH46+AH47)/2</f>
        <v>2</v>
      </c>
      <c r="AI44" s="229"/>
      <c r="AJ44" s="235"/>
      <c r="AK44" s="235"/>
      <c r="AL44" s="245"/>
      <c r="AM44" s="245"/>
      <c r="AN44" s="234">
        <f>(AN46+AN47)/2</f>
        <v>2</v>
      </c>
      <c r="AO44" s="229"/>
      <c r="AP44" s="229"/>
      <c r="AQ44" s="229"/>
      <c r="AR44" s="245"/>
      <c r="AS44" s="245"/>
      <c r="AT44" s="245"/>
      <c r="AU44" s="245"/>
      <c r="AV44" s="234">
        <f>(AV46+AV47)/2</f>
        <v>2</v>
      </c>
      <c r="AW44" s="232"/>
      <c r="AX44" s="245"/>
      <c r="AY44" s="245"/>
      <c r="AZ44" s="245"/>
      <c r="BA44" s="245"/>
      <c r="BB44" s="234">
        <f>(BB46+BB47)/2</f>
        <v>2</v>
      </c>
      <c r="BC44" s="229"/>
      <c r="BD44" s="245"/>
      <c r="BE44" s="245"/>
      <c r="BF44" s="245"/>
      <c r="BG44" s="245"/>
      <c r="BH44" s="234">
        <f>(BH46+BH47)/2</f>
        <v>2</v>
      </c>
      <c r="BI44" s="229"/>
      <c r="BJ44" s="245"/>
      <c r="BK44" s="245"/>
      <c r="BL44" s="245"/>
      <c r="BM44" s="245"/>
      <c r="BN44" s="234">
        <f>(BN46+BN47)/2</f>
        <v>2</v>
      </c>
    </row>
    <row r="45" spans="7:66" ht="11.25">
      <c r="G45" s="195"/>
      <c r="H45" s="201" t="s">
        <v>214</v>
      </c>
      <c r="I45" s="83"/>
      <c r="J45" s="232"/>
      <c r="K45" s="49"/>
      <c r="L45" s="230"/>
      <c r="M45" s="230"/>
      <c r="N45" s="230"/>
      <c r="O45" s="230"/>
      <c r="P45" s="230"/>
      <c r="Q45" s="232"/>
      <c r="R45" s="235"/>
      <c r="S45" s="235"/>
      <c r="T45" s="230"/>
      <c r="U45" s="230"/>
      <c r="V45" s="230"/>
      <c r="W45" s="232"/>
      <c r="X45" s="235"/>
      <c r="Y45" s="235"/>
      <c r="Z45" s="230"/>
      <c r="AA45" s="230"/>
      <c r="AB45" s="230"/>
      <c r="AC45" s="229"/>
      <c r="AD45" s="235"/>
      <c r="AE45" s="235"/>
      <c r="AF45" s="230"/>
      <c r="AG45" s="230"/>
      <c r="AH45" s="230"/>
      <c r="AI45" s="229"/>
      <c r="AJ45" s="235"/>
      <c r="AK45" s="235"/>
      <c r="AL45" s="230"/>
      <c r="AM45" s="230"/>
      <c r="AN45" s="230"/>
      <c r="AO45" s="229"/>
      <c r="AP45" s="229"/>
      <c r="AQ45" s="229"/>
      <c r="AR45" s="230"/>
      <c r="AS45" s="230"/>
      <c r="AT45" s="230"/>
      <c r="AU45" s="230"/>
      <c r="AV45" s="230"/>
      <c r="AW45" s="232"/>
      <c r="AX45" s="230"/>
      <c r="AY45" s="230"/>
      <c r="AZ45" s="230"/>
      <c r="BA45" s="230"/>
      <c r="BB45" s="230"/>
      <c r="BC45" s="229"/>
      <c r="BD45" s="230"/>
      <c r="BE45" s="230"/>
      <c r="BF45" s="230"/>
      <c r="BG45" s="230"/>
      <c r="BH45" s="230"/>
      <c r="BI45" s="229"/>
      <c r="BJ45" s="230"/>
      <c r="BK45" s="230"/>
      <c r="BL45" s="230"/>
      <c r="BM45" s="230"/>
      <c r="BN45" s="230"/>
    </row>
    <row r="46" spans="7:66" ht="22.5">
      <c r="G46" s="195" t="s">
        <v>141</v>
      </c>
      <c r="H46" s="202" t="s">
        <v>275</v>
      </c>
      <c r="I46" s="365"/>
      <c r="J46" s="270"/>
      <c r="K46" s="200"/>
      <c r="L46" s="234">
        <f>IF(L16=0,0,L15/L16*100)</f>
        <v>54.166666666666664</v>
      </c>
      <c r="M46" s="234">
        <f>IF(M16=0,0,M15/M16*100)</f>
        <v>50</v>
      </c>
      <c r="N46" s="234">
        <f>IF(M46&gt;0,L46/M46*100,IF(L46=0,100,120))</f>
        <v>108.33333333333333</v>
      </c>
      <c r="O46" s="235" t="s">
        <v>119</v>
      </c>
      <c r="P46" s="234">
        <f>IF(N46&lt;80,3,IF(N46&gt;=80,IF(N46&lt;=120,2,1)))</f>
        <v>2</v>
      </c>
      <c r="Q46" s="232"/>
      <c r="R46" s="234">
        <f>IF(R16=0,0,R15/R16*100)</f>
        <v>50</v>
      </c>
      <c r="S46" s="234">
        <f>IF(S16=0,0,S15/S16*100)</f>
        <v>50</v>
      </c>
      <c r="T46" s="234">
        <f>IF(S46&gt;0,R46/S46*100,IF(R46=0,100,120))</f>
        <v>100</v>
      </c>
      <c r="U46" s="235" t="s">
        <v>119</v>
      </c>
      <c r="V46" s="234">
        <f>IF(T46&lt;80,3,IF(T46&gt;=80,IF(T46&lt;=120,2,1)))</f>
        <v>2</v>
      </c>
      <c r="W46" s="232"/>
      <c r="X46" s="234">
        <f>IF(X16=0,0,X15/X16*100)</f>
        <v>50</v>
      </c>
      <c r="Y46" s="234">
        <f>IF(Y16=0,0,Y15/Y16*100)</f>
        <v>50</v>
      </c>
      <c r="Z46" s="234">
        <f>IF(Y46&gt;0,X46/Y46*100,IF(X46=0,100,120))</f>
        <v>100</v>
      </c>
      <c r="AA46" s="235" t="s">
        <v>119</v>
      </c>
      <c r="AB46" s="234">
        <f>IF(Z46&lt;80,3,IF(Z46&gt;=80,IF(Z46&lt;=120,2,1)))</f>
        <v>2</v>
      </c>
      <c r="AC46" s="229"/>
      <c r="AD46" s="234">
        <f>IF(AD16=0,0,AD15/AD16*100)</f>
        <v>50</v>
      </c>
      <c r="AE46" s="234">
        <f>IF(AE16=0,0,AE15/AE16*100)</f>
        <v>50</v>
      </c>
      <c r="AF46" s="234">
        <f>IF(AE46&gt;0,AD46/AE46*100,IF(AD46=0,100,120))</f>
        <v>100</v>
      </c>
      <c r="AG46" s="235" t="s">
        <v>119</v>
      </c>
      <c r="AH46" s="234">
        <f>IF(AF46&lt;80,3,IF(AF46&gt;=80,IF(AF46&lt;=120,2,1)))</f>
        <v>2</v>
      </c>
      <c r="AI46" s="229"/>
      <c r="AJ46" s="234">
        <f>IF(AJ16=0,0,AJ15/AJ16*100)</f>
        <v>50</v>
      </c>
      <c r="AK46" s="234">
        <f>IF(AK16=0,0,AK15/AK16*100)</f>
        <v>50</v>
      </c>
      <c r="AL46" s="234">
        <f>IF(AK46&gt;0,AJ46/AK46*100,IF(AJ46=0,100,120))</f>
        <v>100</v>
      </c>
      <c r="AM46" s="235" t="s">
        <v>119</v>
      </c>
      <c r="AN46" s="234">
        <f>IF(AL46&lt;80,3,IF(AL46&gt;=80,IF(AL46&lt;=120,2,1)))</f>
        <v>2</v>
      </c>
      <c r="AO46" s="229"/>
      <c r="AP46" s="229"/>
      <c r="AQ46" s="229"/>
      <c r="AR46" s="234">
        <f>IF(AR16=0,0,AR15/AR16*100)</f>
        <v>0</v>
      </c>
      <c r="AS46" s="234">
        <f>IF(AS16=0,0,AS15/AS16*100)</f>
        <v>0</v>
      </c>
      <c r="AT46" s="234">
        <f>IF(AS46&gt;0,AR46/AS46*100,IF(AR46=0,100,120))</f>
        <v>100</v>
      </c>
      <c r="AU46" s="235" t="s">
        <v>119</v>
      </c>
      <c r="AV46" s="234">
        <f>IF(AT46&lt;80,3,IF(AT46&gt;=80,IF(AT46&lt;=120,2,1)))</f>
        <v>2</v>
      </c>
      <c r="AW46" s="232"/>
      <c r="AX46" s="234">
        <f>IF(AX16=0,0,AX15/AX16*100)</f>
        <v>0</v>
      </c>
      <c r="AY46" s="234">
        <f>IF(AY16=0,0,AY15/AY16*100)</f>
        <v>0</v>
      </c>
      <c r="AZ46" s="234">
        <f>IF(AY46&gt;0,AX46/AY46*100,IF(AX46=0,100,120))</f>
        <v>100</v>
      </c>
      <c r="BA46" s="235" t="s">
        <v>119</v>
      </c>
      <c r="BB46" s="234">
        <f>IF(AZ46&lt;80,3,IF(AZ46&gt;=80,IF(AZ46&lt;=120,2,1)))</f>
        <v>2</v>
      </c>
      <c r="BC46" s="229"/>
      <c r="BD46" s="234">
        <f>IF(BD16=0,0,BD15/BD16*100)</f>
        <v>0</v>
      </c>
      <c r="BE46" s="234">
        <f>IF(BE16=0,0,BE15/BE16*100)</f>
        <v>0</v>
      </c>
      <c r="BF46" s="234">
        <f>IF(BE46&gt;0,BD46/BE46*100,IF(BD46=0,100,120))</f>
        <v>100</v>
      </c>
      <c r="BG46" s="235" t="s">
        <v>119</v>
      </c>
      <c r="BH46" s="234">
        <f>IF(BF46&lt;80,3,IF(BF46&gt;=80,IF(BF46&lt;=120,2,1)))</f>
        <v>2</v>
      </c>
      <c r="BI46" s="229"/>
      <c r="BJ46" s="234">
        <f>IF(BJ16=0,0,BJ15/BJ16*100)</f>
        <v>0</v>
      </c>
      <c r="BK46" s="234">
        <f>IF(BK16=0,0,BK15/BK16*100)</f>
        <v>0</v>
      </c>
      <c r="BL46" s="234">
        <f>IF(BK46&gt;0,BJ46/BK46*100,IF(BJ46=0,100,120))</f>
        <v>100</v>
      </c>
      <c r="BM46" s="235" t="s">
        <v>119</v>
      </c>
      <c r="BN46" s="234">
        <f>IF(BL46&lt;80,3,IF(BL46&gt;=80,IF(BL46&lt;=120,2,1)))</f>
        <v>2</v>
      </c>
    </row>
    <row r="47" spans="7:66" ht="22.5">
      <c r="G47" s="195" t="s">
        <v>140</v>
      </c>
      <c r="H47" s="202" t="s">
        <v>276</v>
      </c>
      <c r="I47" s="365"/>
      <c r="J47" s="270"/>
      <c r="K47" s="200"/>
      <c r="L47" s="234">
        <f>L49+L50+L51+L52</f>
        <v>186</v>
      </c>
      <c r="M47" s="234">
        <f>M49+M50+M51+M52</f>
        <v>186</v>
      </c>
      <c r="N47" s="234">
        <f>IF(M47&gt;0,L47/M47*100,IF(L47=0,100,120))</f>
        <v>100</v>
      </c>
      <c r="O47" s="235" t="s">
        <v>119</v>
      </c>
      <c r="P47" s="234">
        <f>IF(N47&lt;80,3,IF(N47&gt;=80,IF(N47&lt;=120,2,1)))</f>
        <v>2</v>
      </c>
      <c r="Q47" s="232"/>
      <c r="R47" s="234">
        <f>R49+R50+R51+R52</f>
        <v>188.77499999999998</v>
      </c>
      <c r="S47" s="234">
        <f>S49+S50+S51+S52</f>
        <v>188.77499999999998</v>
      </c>
      <c r="T47" s="234">
        <f>IF(S47&gt;0,R47/S47*100,IF(R47=0,100,120))</f>
        <v>100</v>
      </c>
      <c r="U47" s="235" t="s">
        <v>119</v>
      </c>
      <c r="V47" s="234">
        <f>IF(T47&lt;80,3,IF(T47&gt;=80,IF(T47&lt;=120,2,1)))</f>
        <v>2</v>
      </c>
      <c r="W47" s="232"/>
      <c r="X47" s="234">
        <f>X49+X50+X51+X52</f>
        <v>191.591625</v>
      </c>
      <c r="Y47" s="234">
        <f>Y49+Y50+Y51+Y52</f>
        <v>191.591625</v>
      </c>
      <c r="Z47" s="234">
        <f>IF(Y47&gt;0,X47/Y47*100,IF(X47=0,100,120))</f>
        <v>100</v>
      </c>
      <c r="AA47" s="235" t="s">
        <v>119</v>
      </c>
      <c r="AB47" s="234">
        <f>IF(Z47&lt;80,3,IF(Z47&gt;=80,IF(Z47&lt;=120,2,1)))</f>
        <v>2</v>
      </c>
      <c r="AC47" s="229"/>
      <c r="AD47" s="234">
        <f>AD49+AD50+AD51+AD52</f>
        <v>194.45049937499996</v>
      </c>
      <c r="AE47" s="234">
        <f>AE49+AE50+AE51+AE52</f>
        <v>194.45049937499996</v>
      </c>
      <c r="AF47" s="234">
        <f>IF(AE47&gt;0,AD47/AE47*100,IF(AD47=0,100,120))</f>
        <v>100</v>
      </c>
      <c r="AG47" s="235" t="s">
        <v>119</v>
      </c>
      <c r="AH47" s="234">
        <f>IF(AF47&lt;80,3,IF(AF47&gt;=80,IF(AF47&lt;=120,2,1)))</f>
        <v>2</v>
      </c>
      <c r="AI47" s="229"/>
      <c r="AJ47" s="234">
        <f>AJ49+AJ50+AJ51+AJ52</f>
        <v>197.35225686562492</v>
      </c>
      <c r="AK47" s="234">
        <f>AK49+AK50+AK51+AK52</f>
        <v>197.35225686562492</v>
      </c>
      <c r="AL47" s="234">
        <f>IF(AK47&gt;0,AJ47/AK47*100,IF(AJ47=0,100,120))</f>
        <v>100</v>
      </c>
      <c r="AM47" s="235" t="s">
        <v>119</v>
      </c>
      <c r="AN47" s="234">
        <f>IF(AL47&lt;80,3,IF(AL47&gt;=80,IF(AL47&lt;=120,2,1)))</f>
        <v>2</v>
      </c>
      <c r="AO47" s="229"/>
      <c r="AP47" s="229"/>
      <c r="AQ47" s="229"/>
      <c r="AR47" s="234">
        <f>AR49+AR50+AR51+AR52</f>
        <v>0</v>
      </c>
      <c r="AS47" s="234">
        <f>AS49+AS50+AS51+AS52</f>
        <v>0</v>
      </c>
      <c r="AT47" s="234">
        <f>IF(AS47&gt;0,AR47/AS47*100,IF(AR47=0,100,120))</f>
        <v>100</v>
      </c>
      <c r="AU47" s="235" t="s">
        <v>119</v>
      </c>
      <c r="AV47" s="234">
        <f>IF(AT47&lt;80,3,IF(AT47&gt;=80,IF(AT47&lt;=120,2,1)))</f>
        <v>2</v>
      </c>
      <c r="AW47" s="232"/>
      <c r="AX47" s="234">
        <f>AX49+AX50+AX51+AX52</f>
        <v>0</v>
      </c>
      <c r="AY47" s="234">
        <f>AY49+AY50+AY51+AY52</f>
        <v>0</v>
      </c>
      <c r="AZ47" s="234">
        <f>IF(AY47&gt;0,AX47/AY47*100,IF(AX47=0,100,120))</f>
        <v>100</v>
      </c>
      <c r="BA47" s="235" t="s">
        <v>119</v>
      </c>
      <c r="BB47" s="234">
        <f>IF(AZ47&lt;80,3,IF(AZ47&gt;=80,IF(AZ47&lt;=120,2,1)))</f>
        <v>2</v>
      </c>
      <c r="BC47" s="229"/>
      <c r="BD47" s="234">
        <f>BD49+BD50+BD51+BD52</f>
        <v>0</v>
      </c>
      <c r="BE47" s="234">
        <f>BE49+BE50+BE51+BE52</f>
        <v>0</v>
      </c>
      <c r="BF47" s="234">
        <f>IF(BE47&gt;0,BD47/BE47*100,IF(BD47=0,100,120))</f>
        <v>100</v>
      </c>
      <c r="BG47" s="235" t="s">
        <v>119</v>
      </c>
      <c r="BH47" s="234">
        <f>IF(BF47&lt;80,3,IF(BF47&gt;=80,IF(BF47&lt;=120,2,1)))</f>
        <v>2</v>
      </c>
      <c r="BI47" s="229"/>
      <c r="BJ47" s="234">
        <f>BJ49+BJ50+BJ51+BJ52</f>
        <v>0</v>
      </c>
      <c r="BK47" s="234">
        <f>BK49+BK50+BK51+BK52</f>
        <v>0</v>
      </c>
      <c r="BL47" s="234">
        <f>IF(BK47&gt;0,BJ47/BK47*100,IF(BJ47=0,100,120))</f>
        <v>100</v>
      </c>
      <c r="BM47" s="235" t="s">
        <v>119</v>
      </c>
      <c r="BN47" s="234">
        <f>IF(BL47&lt;80,3,IF(BL47&gt;=80,IF(BL47&lt;=120,2,1)))</f>
        <v>2</v>
      </c>
    </row>
    <row r="48" spans="7:66" ht="11.25">
      <c r="G48" s="195"/>
      <c r="H48" s="202" t="s">
        <v>215</v>
      </c>
      <c r="I48" s="365"/>
      <c r="J48" s="270"/>
      <c r="K48" s="200"/>
      <c r="L48" s="230"/>
      <c r="M48" s="230"/>
      <c r="N48" s="230"/>
      <c r="O48" s="230"/>
      <c r="P48" s="230"/>
      <c r="Q48" s="232"/>
      <c r="R48" s="235"/>
      <c r="S48" s="235"/>
      <c r="T48" s="230"/>
      <c r="U48" s="230"/>
      <c r="V48" s="230"/>
      <c r="W48" s="232"/>
      <c r="X48" s="235"/>
      <c r="Y48" s="235"/>
      <c r="Z48" s="230"/>
      <c r="AA48" s="230"/>
      <c r="AB48" s="230"/>
      <c r="AC48" s="229"/>
      <c r="AD48" s="235"/>
      <c r="AE48" s="235"/>
      <c r="AF48" s="230"/>
      <c r="AG48" s="230"/>
      <c r="AH48" s="230"/>
      <c r="AI48" s="229"/>
      <c r="AJ48" s="235"/>
      <c r="AK48" s="235"/>
      <c r="AL48" s="230"/>
      <c r="AM48" s="230"/>
      <c r="AN48" s="230"/>
      <c r="AO48" s="229"/>
      <c r="AP48" s="229"/>
      <c r="AQ48" s="229"/>
      <c r="AR48" s="230"/>
      <c r="AS48" s="230"/>
      <c r="AT48" s="230"/>
      <c r="AU48" s="230"/>
      <c r="AV48" s="230"/>
      <c r="AW48" s="232"/>
      <c r="AX48" s="230"/>
      <c r="AY48" s="230"/>
      <c r="AZ48" s="230"/>
      <c r="BA48" s="230"/>
      <c r="BB48" s="230"/>
      <c r="BC48" s="229"/>
      <c r="BD48" s="230"/>
      <c r="BE48" s="230"/>
      <c r="BF48" s="230"/>
      <c r="BG48" s="230"/>
      <c r="BH48" s="230"/>
      <c r="BI48" s="229"/>
      <c r="BJ48" s="230"/>
      <c r="BK48" s="230"/>
      <c r="BL48" s="230"/>
      <c r="BM48" s="230"/>
      <c r="BN48" s="230"/>
    </row>
    <row r="49" spans="7:66" ht="11.25">
      <c r="G49" s="195" t="s">
        <v>196</v>
      </c>
      <c r="H49" s="203" t="s">
        <v>216</v>
      </c>
      <c r="I49" s="366"/>
      <c r="J49" s="270"/>
      <c r="K49" s="179"/>
      <c r="L49" s="234">
        <f>L18</f>
        <v>5</v>
      </c>
      <c r="M49" s="234">
        <f>M18</f>
        <v>5</v>
      </c>
      <c r="N49" s="234">
        <f>IF(M49&gt;0,L49/M49*100,IF(L49=0,100,120))</f>
        <v>100</v>
      </c>
      <c r="O49" s="235"/>
      <c r="P49" s="235"/>
      <c r="Q49" s="232"/>
      <c r="R49" s="234">
        <f>R18</f>
        <v>5.074999999999999</v>
      </c>
      <c r="S49" s="234">
        <f>S18</f>
        <v>5.074999999999999</v>
      </c>
      <c r="T49" s="234">
        <f>IF(S49&gt;0,R49/S49*100,IF(R49=0,100,120))</f>
        <v>100</v>
      </c>
      <c r="U49" s="235"/>
      <c r="V49" s="235"/>
      <c r="W49" s="232"/>
      <c r="X49" s="234">
        <f>X18</f>
        <v>5.151124999999999</v>
      </c>
      <c r="Y49" s="234">
        <f>Y18</f>
        <v>5.151124999999999</v>
      </c>
      <c r="Z49" s="234">
        <f>IF(Y49&gt;0,X49/Y49*100,IF(X49=0,100,120))</f>
        <v>100</v>
      </c>
      <c r="AA49" s="235"/>
      <c r="AB49" s="235"/>
      <c r="AC49" s="229"/>
      <c r="AD49" s="234">
        <f>AD18</f>
        <v>5.228391874999998</v>
      </c>
      <c r="AE49" s="234">
        <f>AE18</f>
        <v>5.228391874999998</v>
      </c>
      <c r="AF49" s="234">
        <f>IF(AE49&gt;0,AD49/AE49*100,IF(AD49=0,100,120))</f>
        <v>100</v>
      </c>
      <c r="AG49" s="235"/>
      <c r="AH49" s="235"/>
      <c r="AI49" s="229"/>
      <c r="AJ49" s="234">
        <f>AJ18</f>
        <v>5.306817753124998</v>
      </c>
      <c r="AK49" s="234">
        <f>AK18</f>
        <v>5.306817753124998</v>
      </c>
      <c r="AL49" s="234">
        <f>IF(AK49&gt;0,AJ49/AK49*100,IF(AJ49=0,100,120))</f>
        <v>100</v>
      </c>
      <c r="AM49" s="235"/>
      <c r="AN49" s="235"/>
      <c r="AO49" s="229"/>
      <c r="AP49" s="229"/>
      <c r="AQ49" s="229"/>
      <c r="AR49" s="234">
        <f>AR18</f>
        <v>0</v>
      </c>
      <c r="AS49" s="234">
        <f>AS18</f>
        <v>0</v>
      </c>
      <c r="AT49" s="234">
        <f>IF(AS49&gt;0,AR49/AS49*100,IF(AR49=0,100,120))</f>
        <v>100</v>
      </c>
      <c r="AU49" s="235"/>
      <c r="AV49" s="235"/>
      <c r="AW49" s="232"/>
      <c r="AX49" s="234">
        <f>AX18</f>
        <v>0</v>
      </c>
      <c r="AY49" s="234">
        <f>AY18</f>
        <v>0</v>
      </c>
      <c r="AZ49" s="234">
        <f>IF(AY49&gt;0,AX49/AY49*100,IF(AX49=0,100,120))</f>
        <v>100</v>
      </c>
      <c r="BA49" s="235"/>
      <c r="BB49" s="235"/>
      <c r="BC49" s="229"/>
      <c r="BD49" s="234">
        <f>BD18</f>
        <v>0</v>
      </c>
      <c r="BE49" s="234">
        <f>BE18</f>
        <v>0</v>
      </c>
      <c r="BF49" s="234">
        <f>IF(BE49&gt;0,BD49/BE49*100,IF(BD49=0,100,120))</f>
        <v>100</v>
      </c>
      <c r="BG49" s="235"/>
      <c r="BH49" s="235"/>
      <c r="BI49" s="229"/>
      <c r="BJ49" s="234">
        <f>BJ18</f>
        <v>0</v>
      </c>
      <c r="BK49" s="234">
        <f>BK18</f>
        <v>0</v>
      </c>
      <c r="BL49" s="234">
        <f>IF(BK49&gt;0,BJ49/BK49*100,IF(BJ49=0,100,120))</f>
        <v>100</v>
      </c>
      <c r="BM49" s="235"/>
      <c r="BN49" s="235"/>
    </row>
    <row r="50" spans="7:66" ht="33.75">
      <c r="G50" s="195" t="s">
        <v>197</v>
      </c>
      <c r="H50" s="203" t="s">
        <v>25</v>
      </c>
      <c r="I50" s="366"/>
      <c r="J50" s="270"/>
      <c r="K50" s="179"/>
      <c r="L50" s="234">
        <f>IF(L19=0,0,1)</f>
        <v>1</v>
      </c>
      <c r="M50" s="234">
        <f>IF(M19=0,0,1)</f>
        <v>1</v>
      </c>
      <c r="N50" s="234">
        <f>IF(M50&gt;0,L50/M50*100,IF(L50=0,100,120))</f>
        <v>100</v>
      </c>
      <c r="O50" s="235"/>
      <c r="P50" s="235"/>
      <c r="Q50" s="232"/>
      <c r="R50" s="234">
        <f>IF(R19=0,0,1)</f>
        <v>1</v>
      </c>
      <c r="S50" s="234">
        <f>IF(S19=0,0,1)</f>
        <v>1</v>
      </c>
      <c r="T50" s="234">
        <f>IF(S50&gt;0,R50/S50*100,IF(R50=0,100,120))</f>
        <v>100</v>
      </c>
      <c r="U50" s="235"/>
      <c r="V50" s="235"/>
      <c r="W50" s="232"/>
      <c r="X50" s="234">
        <f>IF(X19=0,0,1)</f>
        <v>1</v>
      </c>
      <c r="Y50" s="234">
        <f>IF(Y19=0,0,1)</f>
        <v>1</v>
      </c>
      <c r="Z50" s="234">
        <f>IF(Y50&gt;0,X50/Y50*100,IF(X50=0,100,120))</f>
        <v>100</v>
      </c>
      <c r="AA50" s="235"/>
      <c r="AB50" s="235"/>
      <c r="AC50" s="229"/>
      <c r="AD50" s="234">
        <f>IF(AD19=0,0,1)</f>
        <v>1</v>
      </c>
      <c r="AE50" s="234">
        <f>IF(AE19=0,0,1)</f>
        <v>1</v>
      </c>
      <c r="AF50" s="234">
        <f>IF(AE50&gt;0,AD50/AE50*100,IF(AD50=0,100,120))</f>
        <v>100</v>
      </c>
      <c r="AG50" s="235"/>
      <c r="AH50" s="235"/>
      <c r="AI50" s="229"/>
      <c r="AJ50" s="234">
        <f>IF(AJ19=0,0,1)</f>
        <v>1</v>
      </c>
      <c r="AK50" s="234">
        <f>IF(AK19=0,0,1)</f>
        <v>1</v>
      </c>
      <c r="AL50" s="234">
        <f>IF(AK50&gt;0,AJ50/AK50*100,IF(AJ50=0,100,120))</f>
        <v>100</v>
      </c>
      <c r="AM50" s="235"/>
      <c r="AN50" s="235"/>
      <c r="AO50" s="229"/>
      <c r="AP50" s="229"/>
      <c r="AQ50" s="229"/>
      <c r="AR50" s="234">
        <f>IF(AR19=0,0,1)</f>
        <v>0</v>
      </c>
      <c r="AS50" s="234">
        <f>IF(AS19=0,0,1)</f>
        <v>0</v>
      </c>
      <c r="AT50" s="234">
        <f>IF(AS50&gt;0,AR50/AS50*100,IF(AR50=0,100,120))</f>
        <v>100</v>
      </c>
      <c r="AU50" s="235"/>
      <c r="AV50" s="235"/>
      <c r="AW50" s="232"/>
      <c r="AX50" s="234">
        <f>IF(AX19=0,0,1)</f>
        <v>0</v>
      </c>
      <c r="AY50" s="234">
        <f>IF(AY19=0,0,1)</f>
        <v>0</v>
      </c>
      <c r="AZ50" s="234">
        <f>IF(AY50&gt;0,AX50/AY50*100,IF(AX50=0,100,120))</f>
        <v>100</v>
      </c>
      <c r="BA50" s="235"/>
      <c r="BB50" s="235"/>
      <c r="BC50" s="229"/>
      <c r="BD50" s="234">
        <f>IF(BD19=0,0,1)</f>
        <v>0</v>
      </c>
      <c r="BE50" s="234">
        <f>IF(BE19=0,0,1)</f>
        <v>0</v>
      </c>
      <c r="BF50" s="234">
        <f>IF(BE50&gt;0,BD50/BE50*100,IF(BD50=0,100,120))</f>
        <v>100</v>
      </c>
      <c r="BG50" s="235"/>
      <c r="BH50" s="235"/>
      <c r="BI50" s="229"/>
      <c r="BJ50" s="234">
        <f>IF(BJ19=0,0,1)</f>
        <v>0</v>
      </c>
      <c r="BK50" s="234">
        <f>IF(BK19=0,0,1)</f>
        <v>0</v>
      </c>
      <c r="BL50" s="234">
        <f>IF(BK50&gt;0,BJ50/BK50*100,IF(BJ50=0,100,120))</f>
        <v>100</v>
      </c>
      <c r="BM50" s="235"/>
      <c r="BN50" s="235"/>
    </row>
    <row r="51" spans="7:66" ht="11.25">
      <c r="G51" s="195" t="s">
        <v>198</v>
      </c>
      <c r="H51" s="203" t="s">
        <v>217</v>
      </c>
      <c r="I51" s="366"/>
      <c r="J51" s="270"/>
      <c r="K51" s="179"/>
      <c r="L51" s="234">
        <f>L20</f>
        <v>174</v>
      </c>
      <c r="M51" s="234">
        <f>M20</f>
        <v>174</v>
      </c>
      <c r="N51" s="234">
        <f>IF(M51&gt;0,L51/M51*100,IF(L51=0,100,120))</f>
        <v>100</v>
      </c>
      <c r="O51" s="235"/>
      <c r="P51" s="235"/>
      <c r="Q51" s="232"/>
      <c r="R51" s="234">
        <f>R20</f>
        <v>176.60999999999999</v>
      </c>
      <c r="S51" s="234">
        <f>S20</f>
        <v>176.60999999999999</v>
      </c>
      <c r="T51" s="234">
        <f>IF(S51&gt;0,R51/S51*100,IF(R51=0,100,120))</f>
        <v>100</v>
      </c>
      <c r="U51" s="235"/>
      <c r="V51" s="235"/>
      <c r="W51" s="232"/>
      <c r="X51" s="234">
        <f>X20</f>
        <v>179.25914999999998</v>
      </c>
      <c r="Y51" s="234">
        <f>Y20</f>
        <v>179.25914999999998</v>
      </c>
      <c r="Z51" s="234">
        <f>IF(Y51&gt;0,X51/Y51*100,IF(X51=0,100,120))</f>
        <v>100</v>
      </c>
      <c r="AA51" s="235"/>
      <c r="AB51" s="235"/>
      <c r="AC51" s="229"/>
      <c r="AD51" s="234">
        <f>AD20</f>
        <v>181.94803724999997</v>
      </c>
      <c r="AE51" s="234">
        <f>AE20</f>
        <v>181.94803724999997</v>
      </c>
      <c r="AF51" s="234">
        <f>IF(AE51&gt;0,AD51/AE51*100,IF(AD51=0,100,120))</f>
        <v>100</v>
      </c>
      <c r="AG51" s="235"/>
      <c r="AH51" s="235"/>
      <c r="AI51" s="229"/>
      <c r="AJ51" s="234">
        <f>AJ20</f>
        <v>184.67725780874994</v>
      </c>
      <c r="AK51" s="234">
        <f>AK20</f>
        <v>184.67725780874994</v>
      </c>
      <c r="AL51" s="234">
        <f>IF(AK51&gt;0,AJ51/AK51*100,IF(AJ51=0,100,120))</f>
        <v>100</v>
      </c>
      <c r="AM51" s="235"/>
      <c r="AN51" s="235"/>
      <c r="AO51" s="229"/>
      <c r="AP51" s="229"/>
      <c r="AQ51" s="229"/>
      <c r="AR51" s="234">
        <f>AR20</f>
        <v>0</v>
      </c>
      <c r="AS51" s="234">
        <f>AS20</f>
        <v>0</v>
      </c>
      <c r="AT51" s="234">
        <f>IF(AS51&gt;0,AR51/AS51*100,IF(AR51=0,100,120))</f>
        <v>100</v>
      </c>
      <c r="AU51" s="235"/>
      <c r="AV51" s="235"/>
      <c r="AW51" s="232"/>
      <c r="AX51" s="234">
        <f>AX20</f>
        <v>0</v>
      </c>
      <c r="AY51" s="234">
        <f>AY20</f>
        <v>0</v>
      </c>
      <c r="AZ51" s="234">
        <f>IF(AY51&gt;0,AX51/AY51*100,IF(AX51=0,100,120))</f>
        <v>100</v>
      </c>
      <c r="BA51" s="235"/>
      <c r="BB51" s="235"/>
      <c r="BC51" s="229"/>
      <c r="BD51" s="234">
        <f>BD20</f>
        <v>0</v>
      </c>
      <c r="BE51" s="234">
        <f>BE20</f>
        <v>0</v>
      </c>
      <c r="BF51" s="234">
        <f>IF(BE51&gt;0,BD51/BE51*100,IF(BD51=0,100,120))</f>
        <v>100</v>
      </c>
      <c r="BG51" s="235"/>
      <c r="BH51" s="235"/>
      <c r="BI51" s="229"/>
      <c r="BJ51" s="234">
        <f>BJ20</f>
        <v>0</v>
      </c>
      <c r="BK51" s="234">
        <f>BK20</f>
        <v>0</v>
      </c>
      <c r="BL51" s="234">
        <f>IF(BK51&gt;0,BJ51/BK51*100,IF(BJ51=0,100,120))</f>
        <v>100</v>
      </c>
      <c r="BM51" s="235"/>
      <c r="BN51" s="235"/>
    </row>
    <row r="52" spans="7:66" ht="22.5">
      <c r="G52" s="195" t="s">
        <v>199</v>
      </c>
      <c r="H52" s="203" t="s">
        <v>218</v>
      </c>
      <c r="I52" s="366"/>
      <c r="J52" s="270"/>
      <c r="K52" s="179"/>
      <c r="L52" s="234">
        <f>L21</f>
        <v>6</v>
      </c>
      <c r="M52" s="234">
        <f>M21</f>
        <v>6</v>
      </c>
      <c r="N52" s="234">
        <f>IF(M52&gt;0,L52/M52*100,IF(L52=0,100,120))</f>
        <v>100</v>
      </c>
      <c r="O52" s="235"/>
      <c r="P52" s="235"/>
      <c r="Q52" s="232"/>
      <c r="R52" s="234">
        <f>R21</f>
        <v>6.09</v>
      </c>
      <c r="S52" s="234">
        <f>S21</f>
        <v>6.09</v>
      </c>
      <c r="T52" s="234">
        <f>IF(S52&gt;0,R52/S52*100,IF(R52=0,100,120))</f>
        <v>100</v>
      </c>
      <c r="U52" s="235"/>
      <c r="V52" s="235"/>
      <c r="W52" s="232"/>
      <c r="X52" s="234">
        <f>X21</f>
        <v>6.181349999999999</v>
      </c>
      <c r="Y52" s="234">
        <f>Y21</f>
        <v>6.181349999999999</v>
      </c>
      <c r="Z52" s="234">
        <f>IF(Y52&gt;0,X52/Y52*100,IF(X52=0,100,120))</f>
        <v>100</v>
      </c>
      <c r="AA52" s="235"/>
      <c r="AB52" s="235"/>
      <c r="AC52" s="229"/>
      <c r="AD52" s="234">
        <f>AD21</f>
        <v>6.2740702499999985</v>
      </c>
      <c r="AE52" s="234">
        <f>AE21</f>
        <v>6.2740702499999985</v>
      </c>
      <c r="AF52" s="234">
        <f>IF(AE52&gt;0,AD52/AE52*100,IF(AD52=0,100,120))</f>
        <v>100</v>
      </c>
      <c r="AG52" s="235"/>
      <c r="AH52" s="235"/>
      <c r="AI52" s="229"/>
      <c r="AJ52" s="234">
        <f>AJ21</f>
        <v>6.3681813037499975</v>
      </c>
      <c r="AK52" s="234">
        <f>AK21</f>
        <v>6.3681813037499975</v>
      </c>
      <c r="AL52" s="234">
        <f>IF(AK52&gt;0,AJ52/AK52*100,IF(AJ52=0,100,120))</f>
        <v>100</v>
      </c>
      <c r="AM52" s="235"/>
      <c r="AN52" s="235"/>
      <c r="AO52" s="229"/>
      <c r="AP52" s="229"/>
      <c r="AQ52" s="229"/>
      <c r="AR52" s="234">
        <f>AR21</f>
        <v>0</v>
      </c>
      <c r="AS52" s="234">
        <f>AS21</f>
        <v>0</v>
      </c>
      <c r="AT52" s="234">
        <f>IF(AS52&gt;0,AR52/AS52*100,IF(AR52=0,100,120))</f>
        <v>100</v>
      </c>
      <c r="AU52" s="235"/>
      <c r="AV52" s="235"/>
      <c r="AW52" s="232"/>
      <c r="AX52" s="234">
        <f>AX21</f>
        <v>0</v>
      </c>
      <c r="AY52" s="234">
        <f>AY21</f>
        <v>0</v>
      </c>
      <c r="AZ52" s="234">
        <f>IF(AY52&gt;0,AX52/AY52*100,IF(AX52=0,100,120))</f>
        <v>100</v>
      </c>
      <c r="BA52" s="235"/>
      <c r="BB52" s="235"/>
      <c r="BC52" s="229"/>
      <c r="BD52" s="234">
        <f>BD21</f>
        <v>0</v>
      </c>
      <c r="BE52" s="234">
        <f>BE21</f>
        <v>0</v>
      </c>
      <c r="BF52" s="234">
        <f>IF(BE52&gt;0,BD52/BE52*100,IF(BD52=0,100,120))</f>
        <v>100</v>
      </c>
      <c r="BG52" s="235"/>
      <c r="BH52" s="235"/>
      <c r="BI52" s="229"/>
      <c r="BJ52" s="234">
        <f>BJ21</f>
        <v>0</v>
      </c>
      <c r="BK52" s="234">
        <f>BK21</f>
        <v>0</v>
      </c>
      <c r="BL52" s="234">
        <f>IF(BK52&gt;0,BJ52/BK52*100,IF(BJ52=0,100,120))</f>
        <v>100</v>
      </c>
      <c r="BM52" s="235"/>
      <c r="BN52" s="235"/>
    </row>
    <row r="53" spans="7:66" ht="22.5">
      <c r="G53" s="195" t="s">
        <v>80</v>
      </c>
      <c r="H53" s="201" t="s">
        <v>277</v>
      </c>
      <c r="I53" s="83"/>
      <c r="J53" s="270"/>
      <c r="K53" s="49"/>
      <c r="L53" s="235"/>
      <c r="M53" s="235"/>
      <c r="N53" s="235"/>
      <c r="O53" s="235"/>
      <c r="P53" s="234">
        <f>(P55+P56+P57)/3</f>
        <v>2</v>
      </c>
      <c r="Q53" s="232"/>
      <c r="R53" s="235"/>
      <c r="S53" s="235"/>
      <c r="T53" s="235"/>
      <c r="U53" s="235"/>
      <c r="V53" s="234">
        <f>(V55+V56+V57)/3</f>
        <v>2</v>
      </c>
      <c r="W53" s="232"/>
      <c r="X53" s="235"/>
      <c r="Y53" s="235"/>
      <c r="Z53" s="235"/>
      <c r="AA53" s="235"/>
      <c r="AB53" s="234">
        <f>(AB55+AB56+AB57)/3</f>
        <v>2</v>
      </c>
      <c r="AC53" s="229"/>
      <c r="AD53" s="235"/>
      <c r="AE53" s="235"/>
      <c r="AF53" s="235"/>
      <c r="AG53" s="235"/>
      <c r="AH53" s="234">
        <f>(AH55+AH56+AH57)/3</f>
        <v>2</v>
      </c>
      <c r="AI53" s="229"/>
      <c r="AJ53" s="235"/>
      <c r="AK53" s="235"/>
      <c r="AL53" s="235"/>
      <c r="AM53" s="235"/>
      <c r="AN53" s="234">
        <f>(AN55+AN56+AN57)/3</f>
        <v>2</v>
      </c>
      <c r="AO53" s="229"/>
      <c r="AP53" s="229"/>
      <c r="AQ53" s="229"/>
      <c r="AR53" s="235"/>
      <c r="AS53" s="235"/>
      <c r="AT53" s="235"/>
      <c r="AU53" s="235"/>
      <c r="AV53" s="234">
        <f>(AV55+AV56+AV57)/3</f>
        <v>2</v>
      </c>
      <c r="AW53" s="232"/>
      <c r="AX53" s="235"/>
      <c r="AY53" s="235"/>
      <c r="AZ53" s="235"/>
      <c r="BA53" s="235"/>
      <c r="BB53" s="234">
        <f>(BB55+BB56+BB57)/3</f>
        <v>2</v>
      </c>
      <c r="BC53" s="229"/>
      <c r="BD53" s="235"/>
      <c r="BE53" s="235"/>
      <c r="BF53" s="235"/>
      <c r="BG53" s="235"/>
      <c r="BH53" s="234">
        <f>(BH55+BH56+BH57)/3</f>
        <v>2</v>
      </c>
      <c r="BI53" s="229"/>
      <c r="BJ53" s="235"/>
      <c r="BK53" s="235"/>
      <c r="BL53" s="235"/>
      <c r="BM53" s="235"/>
      <c r="BN53" s="234">
        <f>(BN55+BN56+BN57)/3</f>
        <v>2</v>
      </c>
    </row>
    <row r="54" spans="7:66" ht="11.25">
      <c r="G54" s="195"/>
      <c r="H54" s="201" t="s">
        <v>219</v>
      </c>
      <c r="I54" s="83"/>
      <c r="J54" s="270"/>
      <c r="K54" s="49"/>
      <c r="L54" s="230"/>
      <c r="M54" s="230"/>
      <c r="N54" s="230"/>
      <c r="O54" s="230"/>
      <c r="P54" s="230"/>
      <c r="Q54" s="232"/>
      <c r="R54" s="235"/>
      <c r="S54" s="235"/>
      <c r="T54" s="230"/>
      <c r="U54" s="230"/>
      <c r="V54" s="230"/>
      <c r="W54" s="232"/>
      <c r="X54" s="235"/>
      <c r="Y54" s="235"/>
      <c r="Z54" s="230"/>
      <c r="AA54" s="230"/>
      <c r="AB54" s="230"/>
      <c r="AC54" s="229"/>
      <c r="AD54" s="235"/>
      <c r="AE54" s="235"/>
      <c r="AF54" s="230"/>
      <c r="AG54" s="230"/>
      <c r="AH54" s="230"/>
      <c r="AI54" s="229"/>
      <c r="AJ54" s="235"/>
      <c r="AK54" s="235"/>
      <c r="AL54" s="230"/>
      <c r="AM54" s="230"/>
      <c r="AN54" s="230"/>
      <c r="AO54" s="229"/>
      <c r="AP54" s="229"/>
      <c r="AQ54" s="229"/>
      <c r="AR54" s="230"/>
      <c r="AS54" s="230"/>
      <c r="AT54" s="230"/>
      <c r="AU54" s="230"/>
      <c r="AV54" s="230"/>
      <c r="AW54" s="232"/>
      <c r="AX54" s="230"/>
      <c r="AY54" s="230"/>
      <c r="AZ54" s="230"/>
      <c r="BA54" s="230"/>
      <c r="BB54" s="230"/>
      <c r="BC54" s="229"/>
      <c r="BD54" s="230"/>
      <c r="BE54" s="230"/>
      <c r="BF54" s="230"/>
      <c r="BG54" s="230"/>
      <c r="BH54" s="230"/>
      <c r="BI54" s="229"/>
      <c r="BJ54" s="230"/>
      <c r="BK54" s="230"/>
      <c r="BL54" s="230"/>
      <c r="BM54" s="230"/>
      <c r="BN54" s="230"/>
    </row>
    <row r="55" spans="7:66" ht="11.25">
      <c r="G55" s="195" t="s">
        <v>114</v>
      </c>
      <c r="H55" s="202" t="s">
        <v>161</v>
      </c>
      <c r="I55" s="365"/>
      <c r="J55" s="270"/>
      <c r="K55" s="200"/>
      <c r="L55" s="234">
        <f aca="true" t="shared" si="8" ref="L55:M59">IF(L23=0,0,1)</f>
        <v>1</v>
      </c>
      <c r="M55" s="234">
        <f t="shared" si="8"/>
        <v>1</v>
      </c>
      <c r="N55" s="234">
        <f>IF(M55&gt;0,L55/M55*100,IF(L55=0,100,120))</f>
        <v>100</v>
      </c>
      <c r="O55" s="235" t="s">
        <v>119</v>
      </c>
      <c r="P55" s="234">
        <f>IF(N55&lt;80,3,IF(N55&gt;=80,IF(N55&lt;=120,2,1)))</f>
        <v>2</v>
      </c>
      <c r="Q55" s="232"/>
      <c r="R55" s="234">
        <f aca="true" t="shared" si="9" ref="R55:S59">IF(R23=0,0,1)</f>
        <v>1</v>
      </c>
      <c r="S55" s="234">
        <f t="shared" si="9"/>
        <v>1</v>
      </c>
      <c r="T55" s="234">
        <f>IF(S55&gt;0,R55/S55*100,IF(R55=0,100,120))</f>
        <v>100</v>
      </c>
      <c r="U55" s="235" t="s">
        <v>119</v>
      </c>
      <c r="V55" s="234">
        <f>IF(T55&lt;80,3,IF(T55&gt;=80,IF(T55&lt;=120,2,1)))</f>
        <v>2</v>
      </c>
      <c r="W55" s="232"/>
      <c r="X55" s="234">
        <f aca="true" t="shared" si="10" ref="X55:Y59">IF(X23=0,0,1)</f>
        <v>1</v>
      </c>
      <c r="Y55" s="234">
        <f t="shared" si="10"/>
        <v>1</v>
      </c>
      <c r="Z55" s="234">
        <f>IF(Y55&gt;0,X55/Y55*100,IF(X55=0,100,120))</f>
        <v>100</v>
      </c>
      <c r="AA55" s="235" t="s">
        <v>119</v>
      </c>
      <c r="AB55" s="234">
        <f>IF(Z55&lt;80,3,IF(Z55&gt;=80,IF(Z55&lt;=120,2,1)))</f>
        <v>2</v>
      </c>
      <c r="AC55" s="229"/>
      <c r="AD55" s="234">
        <f aca="true" t="shared" si="11" ref="AD55:AE59">IF(AD23=0,0,1)</f>
        <v>1</v>
      </c>
      <c r="AE55" s="234">
        <f t="shared" si="11"/>
        <v>1</v>
      </c>
      <c r="AF55" s="234">
        <f>IF(AE55&gt;0,AD55/AE55*100,IF(AD55=0,100,120))</f>
        <v>100</v>
      </c>
      <c r="AG55" s="235" t="s">
        <v>119</v>
      </c>
      <c r="AH55" s="234">
        <f>IF(AF55&lt;80,3,IF(AF55&gt;=80,IF(AF55&lt;=120,2,1)))</f>
        <v>2</v>
      </c>
      <c r="AI55" s="229"/>
      <c r="AJ55" s="234">
        <f aca="true" t="shared" si="12" ref="AJ55:AK59">IF(AJ23=0,0,1)</f>
        <v>1</v>
      </c>
      <c r="AK55" s="234">
        <f t="shared" si="12"/>
        <v>1</v>
      </c>
      <c r="AL55" s="234">
        <f>IF(AK55&gt;0,AJ55/AK55*100,IF(AJ55=0,100,120))</f>
        <v>100</v>
      </c>
      <c r="AM55" s="235" t="s">
        <v>119</v>
      </c>
      <c r="AN55" s="234">
        <f>IF(AL55&lt;80,3,IF(AL55&gt;=80,IF(AL55&lt;=120,2,1)))</f>
        <v>2</v>
      </c>
      <c r="AO55" s="229"/>
      <c r="AP55" s="229"/>
      <c r="AQ55" s="229"/>
      <c r="AR55" s="234">
        <f aca="true" t="shared" si="13" ref="AR55:AS59">IF(AR23=0,0,1)</f>
        <v>0</v>
      </c>
      <c r="AS55" s="234">
        <f t="shared" si="13"/>
        <v>0</v>
      </c>
      <c r="AT55" s="234">
        <f>IF(AS55&gt;0,AR55/AS55*100,IF(AR55=0,100,120))</f>
        <v>100</v>
      </c>
      <c r="AU55" s="235" t="s">
        <v>119</v>
      </c>
      <c r="AV55" s="234">
        <f>IF(AT55&lt;80,3,IF(AT55&gt;=80,IF(AT55&lt;=120,2,1)))</f>
        <v>2</v>
      </c>
      <c r="AW55" s="232"/>
      <c r="AX55" s="234">
        <f aca="true" t="shared" si="14" ref="AX55:AY59">IF(AX23=0,0,1)</f>
        <v>0</v>
      </c>
      <c r="AY55" s="234">
        <f t="shared" si="14"/>
        <v>0</v>
      </c>
      <c r="AZ55" s="234">
        <f>IF(AY55&gt;0,AX55/AY55*100,IF(AX55=0,100,120))</f>
        <v>100</v>
      </c>
      <c r="BA55" s="235" t="s">
        <v>119</v>
      </c>
      <c r="BB55" s="234">
        <f>IF(AZ55&lt;80,3,IF(AZ55&gt;=80,IF(AZ55&lt;=120,2,1)))</f>
        <v>2</v>
      </c>
      <c r="BC55" s="229"/>
      <c r="BD55" s="234">
        <f aca="true" t="shared" si="15" ref="BD55:BE59">IF(BD23=0,0,1)</f>
        <v>0</v>
      </c>
      <c r="BE55" s="234">
        <f t="shared" si="15"/>
        <v>0</v>
      </c>
      <c r="BF55" s="234">
        <f>IF(BE55&gt;0,BD55/BE55*100,IF(BD55=0,100,120))</f>
        <v>100</v>
      </c>
      <c r="BG55" s="235" t="s">
        <v>119</v>
      </c>
      <c r="BH55" s="234">
        <f>IF(BF55&lt;80,3,IF(BF55&gt;=80,IF(BF55&lt;=120,2,1)))</f>
        <v>2</v>
      </c>
      <c r="BI55" s="229"/>
      <c r="BJ55" s="234">
        <f aca="true" t="shared" si="16" ref="BJ55:BK59">IF(BJ23=0,0,1)</f>
        <v>0</v>
      </c>
      <c r="BK55" s="234">
        <f t="shared" si="16"/>
        <v>0</v>
      </c>
      <c r="BL55" s="234">
        <f>IF(BK55&gt;0,BJ55/BK55*100,IF(BJ55=0,100,120))</f>
        <v>100</v>
      </c>
      <c r="BM55" s="235" t="s">
        <v>119</v>
      </c>
      <c r="BN55" s="234">
        <f>IF(BL55&lt;80,3,IF(BL55&gt;=80,IF(BL55&lt;=120,2,1)))</f>
        <v>2</v>
      </c>
    </row>
    <row r="56" spans="7:66" ht="22.5">
      <c r="G56" s="195" t="s">
        <v>113</v>
      </c>
      <c r="H56" s="202" t="s">
        <v>200</v>
      </c>
      <c r="I56" s="365"/>
      <c r="J56" s="270"/>
      <c r="K56" s="200"/>
      <c r="L56" s="234">
        <f t="shared" si="8"/>
        <v>0</v>
      </c>
      <c r="M56" s="234">
        <f t="shared" si="8"/>
        <v>0</v>
      </c>
      <c r="N56" s="234">
        <f>IF(M56&gt;0,L56/M56*100,IF(L56=0,100,120))</f>
        <v>100</v>
      </c>
      <c r="O56" s="235" t="s">
        <v>119</v>
      </c>
      <c r="P56" s="234">
        <f>IF(N56&lt;80,3,IF(N56&gt;=80,IF(N56&lt;=120,2,1)))</f>
        <v>2</v>
      </c>
      <c r="Q56" s="232"/>
      <c r="R56" s="234">
        <f t="shared" si="9"/>
        <v>0</v>
      </c>
      <c r="S56" s="234">
        <f t="shared" si="9"/>
        <v>0</v>
      </c>
      <c r="T56" s="234">
        <f>IF(S56&gt;0,R56/S56*100,IF(R56=0,100,120))</f>
        <v>100</v>
      </c>
      <c r="U56" s="235" t="s">
        <v>119</v>
      </c>
      <c r="V56" s="234">
        <f>IF(T56&lt;80,3,IF(T56&gt;=80,IF(T56&lt;=120,2,1)))</f>
        <v>2</v>
      </c>
      <c r="W56" s="232"/>
      <c r="X56" s="234">
        <f t="shared" si="10"/>
        <v>0</v>
      </c>
      <c r="Y56" s="234">
        <f t="shared" si="10"/>
        <v>0</v>
      </c>
      <c r="Z56" s="234">
        <f>IF(Y56&gt;0,X56/Y56*100,IF(X56=0,100,120))</f>
        <v>100</v>
      </c>
      <c r="AA56" s="235" t="s">
        <v>119</v>
      </c>
      <c r="AB56" s="234">
        <f>IF(Z56&lt;80,3,IF(Z56&gt;=80,IF(Z56&lt;=120,2,1)))</f>
        <v>2</v>
      </c>
      <c r="AC56" s="229"/>
      <c r="AD56" s="234">
        <f t="shared" si="11"/>
        <v>0</v>
      </c>
      <c r="AE56" s="234">
        <f t="shared" si="11"/>
        <v>0</v>
      </c>
      <c r="AF56" s="234">
        <f>IF(AE56&gt;0,AD56/AE56*100,IF(AD56=0,100,120))</f>
        <v>100</v>
      </c>
      <c r="AG56" s="235" t="s">
        <v>119</v>
      </c>
      <c r="AH56" s="234">
        <f>IF(AF56&lt;80,3,IF(AF56&gt;=80,IF(AF56&lt;=120,2,1)))</f>
        <v>2</v>
      </c>
      <c r="AI56" s="229"/>
      <c r="AJ56" s="234">
        <f t="shared" si="12"/>
        <v>0</v>
      </c>
      <c r="AK56" s="234">
        <f t="shared" si="12"/>
        <v>0</v>
      </c>
      <c r="AL56" s="234">
        <f>IF(AK56&gt;0,AJ56/AK56*100,IF(AJ56=0,100,120))</f>
        <v>100</v>
      </c>
      <c r="AM56" s="235" t="s">
        <v>119</v>
      </c>
      <c r="AN56" s="234">
        <f>IF(AL56&lt;80,3,IF(AL56&gt;=80,IF(AL56&lt;=120,2,1)))</f>
        <v>2</v>
      </c>
      <c r="AO56" s="229"/>
      <c r="AP56" s="229"/>
      <c r="AQ56" s="229"/>
      <c r="AR56" s="234">
        <f t="shared" si="13"/>
        <v>0</v>
      </c>
      <c r="AS56" s="234">
        <f t="shared" si="13"/>
        <v>0</v>
      </c>
      <c r="AT56" s="234">
        <f>IF(AS56&gt;0,AR56/AS56*100,IF(AR56=0,100,120))</f>
        <v>100</v>
      </c>
      <c r="AU56" s="235" t="s">
        <v>119</v>
      </c>
      <c r="AV56" s="234">
        <f>IF(AT56&lt;80,3,IF(AT56&gt;=80,IF(AT56&lt;=120,2,1)))</f>
        <v>2</v>
      </c>
      <c r="AW56" s="232"/>
      <c r="AX56" s="234">
        <f t="shared" si="14"/>
        <v>0</v>
      </c>
      <c r="AY56" s="234">
        <f t="shared" si="14"/>
        <v>0</v>
      </c>
      <c r="AZ56" s="234">
        <f>IF(AY56&gt;0,AX56/AY56*100,IF(AX56=0,100,120))</f>
        <v>100</v>
      </c>
      <c r="BA56" s="235" t="s">
        <v>119</v>
      </c>
      <c r="BB56" s="234">
        <f>IF(AZ56&lt;80,3,IF(AZ56&gt;=80,IF(AZ56&lt;=120,2,1)))</f>
        <v>2</v>
      </c>
      <c r="BC56" s="229"/>
      <c r="BD56" s="234">
        <f t="shared" si="15"/>
        <v>0</v>
      </c>
      <c r="BE56" s="234">
        <f t="shared" si="15"/>
        <v>0</v>
      </c>
      <c r="BF56" s="234">
        <f>IF(BE56&gt;0,BD56/BE56*100,IF(BD56=0,100,120))</f>
        <v>100</v>
      </c>
      <c r="BG56" s="235" t="s">
        <v>119</v>
      </c>
      <c r="BH56" s="234">
        <f>IF(BF56&lt;80,3,IF(BF56&gt;=80,IF(BF56&lt;=120,2,1)))</f>
        <v>2</v>
      </c>
      <c r="BI56" s="229"/>
      <c r="BJ56" s="234">
        <f t="shared" si="16"/>
        <v>0</v>
      </c>
      <c r="BK56" s="234">
        <f t="shared" si="16"/>
        <v>0</v>
      </c>
      <c r="BL56" s="234">
        <f>IF(BK56&gt;0,BJ56/BK56*100,IF(BJ56=0,100,120))</f>
        <v>100</v>
      </c>
      <c r="BM56" s="235" t="s">
        <v>119</v>
      </c>
      <c r="BN56" s="234">
        <f>IF(BL56&lt;80,3,IF(BL56&gt;=80,IF(BL56&lt;=120,2,1)))</f>
        <v>2</v>
      </c>
    </row>
    <row r="57" spans="7:66" ht="22.5">
      <c r="G57" s="195" t="s">
        <v>112</v>
      </c>
      <c r="H57" s="202" t="s">
        <v>162</v>
      </c>
      <c r="I57" s="365"/>
      <c r="J57" s="270"/>
      <c r="K57" s="200"/>
      <c r="L57" s="234">
        <f t="shared" si="8"/>
        <v>0</v>
      </c>
      <c r="M57" s="234">
        <f t="shared" si="8"/>
        <v>0</v>
      </c>
      <c r="N57" s="234">
        <f>IF(M57&gt;0,L57/M57*100,IF(L57=0,100,120))</f>
        <v>100</v>
      </c>
      <c r="O57" s="235" t="s">
        <v>119</v>
      </c>
      <c r="P57" s="234">
        <f>IF(N57&lt;80,3,IF(N57&gt;=80,IF(N57&lt;=120,2,1)))</f>
        <v>2</v>
      </c>
      <c r="Q57" s="232"/>
      <c r="R57" s="234">
        <f t="shared" si="9"/>
        <v>0</v>
      </c>
      <c r="S57" s="234">
        <f t="shared" si="9"/>
        <v>0</v>
      </c>
      <c r="T57" s="234">
        <f>IF(S57&gt;0,R57/S57*100,IF(R57=0,100,120))</f>
        <v>100</v>
      </c>
      <c r="U57" s="235" t="s">
        <v>119</v>
      </c>
      <c r="V57" s="234">
        <f>IF(T57&lt;80,3,IF(T57&gt;=80,IF(T57&lt;=120,2,1)))</f>
        <v>2</v>
      </c>
      <c r="W57" s="232"/>
      <c r="X57" s="234">
        <f t="shared" si="10"/>
        <v>0</v>
      </c>
      <c r="Y57" s="234">
        <f t="shared" si="10"/>
        <v>0</v>
      </c>
      <c r="Z57" s="234">
        <f>IF(Y57&gt;0,X57/Y57*100,IF(X57=0,100,120))</f>
        <v>100</v>
      </c>
      <c r="AA57" s="235" t="s">
        <v>119</v>
      </c>
      <c r="AB57" s="234">
        <f>IF(Z57&lt;80,3,IF(Z57&gt;=80,IF(Z57&lt;=120,2,1)))</f>
        <v>2</v>
      </c>
      <c r="AC57" s="229"/>
      <c r="AD57" s="234">
        <f t="shared" si="11"/>
        <v>0</v>
      </c>
      <c r="AE57" s="234">
        <f t="shared" si="11"/>
        <v>0</v>
      </c>
      <c r="AF57" s="234">
        <f>IF(AE57&gt;0,AD57/AE57*100,IF(AD57=0,100,120))</f>
        <v>100</v>
      </c>
      <c r="AG57" s="235" t="s">
        <v>119</v>
      </c>
      <c r="AH57" s="234">
        <f>IF(AF57&lt;80,3,IF(AF57&gt;=80,IF(AF57&lt;=120,2,1)))</f>
        <v>2</v>
      </c>
      <c r="AI57" s="229"/>
      <c r="AJ57" s="234">
        <f t="shared" si="12"/>
        <v>0</v>
      </c>
      <c r="AK57" s="234">
        <f t="shared" si="12"/>
        <v>0</v>
      </c>
      <c r="AL57" s="234">
        <f>IF(AK57&gt;0,AJ57/AK57*100,IF(AJ57=0,100,120))</f>
        <v>100</v>
      </c>
      <c r="AM57" s="235" t="s">
        <v>119</v>
      </c>
      <c r="AN57" s="234">
        <f>IF(AL57&lt;80,3,IF(AL57&gt;=80,IF(AL57&lt;=120,2,1)))</f>
        <v>2</v>
      </c>
      <c r="AO57" s="229"/>
      <c r="AP57" s="229"/>
      <c r="AQ57" s="229"/>
      <c r="AR57" s="234">
        <f t="shared" si="13"/>
        <v>0</v>
      </c>
      <c r="AS57" s="234">
        <f t="shared" si="13"/>
        <v>0</v>
      </c>
      <c r="AT57" s="234">
        <f>IF(AS57&gt;0,AR57/AS57*100,IF(AR57=0,100,120))</f>
        <v>100</v>
      </c>
      <c r="AU57" s="235" t="s">
        <v>119</v>
      </c>
      <c r="AV57" s="234">
        <f>IF(AT57&lt;80,3,IF(AT57&gt;=80,IF(AT57&lt;=120,2,1)))</f>
        <v>2</v>
      </c>
      <c r="AW57" s="232"/>
      <c r="AX57" s="234">
        <f t="shared" si="14"/>
        <v>0</v>
      </c>
      <c r="AY57" s="234">
        <f t="shared" si="14"/>
        <v>0</v>
      </c>
      <c r="AZ57" s="234">
        <f>IF(AY57&gt;0,AX57/AY57*100,IF(AX57=0,100,120))</f>
        <v>100</v>
      </c>
      <c r="BA57" s="235" t="s">
        <v>119</v>
      </c>
      <c r="BB57" s="234">
        <f>IF(AZ57&lt;80,3,IF(AZ57&gt;=80,IF(AZ57&lt;=120,2,1)))</f>
        <v>2</v>
      </c>
      <c r="BC57" s="229"/>
      <c r="BD57" s="234">
        <f t="shared" si="15"/>
        <v>0</v>
      </c>
      <c r="BE57" s="234">
        <f t="shared" si="15"/>
        <v>0</v>
      </c>
      <c r="BF57" s="234">
        <f>IF(BE57&gt;0,BD57/BE57*100,IF(BD57=0,100,120))</f>
        <v>100</v>
      </c>
      <c r="BG57" s="235" t="s">
        <v>119</v>
      </c>
      <c r="BH57" s="234">
        <f>IF(BF57&lt;80,3,IF(BF57&gt;=80,IF(BF57&lt;=120,2,1)))</f>
        <v>2</v>
      </c>
      <c r="BI57" s="229"/>
      <c r="BJ57" s="234">
        <f t="shared" si="16"/>
        <v>0</v>
      </c>
      <c r="BK57" s="234">
        <f t="shared" si="16"/>
        <v>0</v>
      </c>
      <c r="BL57" s="234">
        <f>IF(BK57&gt;0,BJ57/BK57*100,IF(BJ57=0,100,120))</f>
        <v>100</v>
      </c>
      <c r="BM57" s="235" t="s">
        <v>119</v>
      </c>
      <c r="BN57" s="234">
        <f>IF(BL57&lt;80,3,IF(BL57&gt;=80,IF(BL57&lt;=120,2,1)))</f>
        <v>2</v>
      </c>
    </row>
    <row r="58" spans="7:66" ht="22.5">
      <c r="G58" s="195" t="s">
        <v>81</v>
      </c>
      <c r="H58" s="201" t="s">
        <v>163</v>
      </c>
      <c r="I58" s="83"/>
      <c r="J58" s="426"/>
      <c r="K58" s="49"/>
      <c r="L58" s="234">
        <f t="shared" si="8"/>
        <v>1</v>
      </c>
      <c r="M58" s="234">
        <f t="shared" si="8"/>
        <v>1</v>
      </c>
      <c r="N58" s="234">
        <f>IF(M58&gt;0,L58/M58*100,IF(L58=0,100,120))</f>
        <v>100</v>
      </c>
      <c r="O58" s="235" t="s">
        <v>119</v>
      </c>
      <c r="P58" s="234">
        <f>IF(N58&lt;80,3,IF(N58&gt;=80,IF(N58&lt;=120,2,1)))</f>
        <v>2</v>
      </c>
      <c r="Q58" s="232"/>
      <c r="R58" s="234">
        <f t="shared" si="9"/>
        <v>1</v>
      </c>
      <c r="S58" s="234">
        <f t="shared" si="9"/>
        <v>1</v>
      </c>
      <c r="T58" s="234">
        <f>IF(S58&gt;0,R58/S58*100,IF(R58=0,100,120))</f>
        <v>100</v>
      </c>
      <c r="U58" s="235" t="s">
        <v>119</v>
      </c>
      <c r="V58" s="234">
        <f>IF(T58&lt;80,3,IF(T58&gt;=80,IF(T58&lt;=120,2,1)))</f>
        <v>2</v>
      </c>
      <c r="W58" s="232"/>
      <c r="X58" s="234">
        <f t="shared" si="10"/>
        <v>1</v>
      </c>
      <c r="Y58" s="234">
        <f t="shared" si="10"/>
        <v>1</v>
      </c>
      <c r="Z58" s="234">
        <f>IF(Y58&gt;0,X58/Y58*100,IF(X58=0,100,120))</f>
        <v>100</v>
      </c>
      <c r="AA58" s="235" t="s">
        <v>119</v>
      </c>
      <c r="AB58" s="234">
        <f>IF(Z58&lt;80,3,IF(Z58&gt;=80,IF(Z58&lt;=120,2,1)))</f>
        <v>2</v>
      </c>
      <c r="AC58" s="229"/>
      <c r="AD58" s="234">
        <f t="shared" si="11"/>
        <v>1</v>
      </c>
      <c r="AE58" s="234">
        <f t="shared" si="11"/>
        <v>1</v>
      </c>
      <c r="AF58" s="234">
        <f>IF(AE58&gt;0,AD58/AE58*100,IF(AD58=0,100,120))</f>
        <v>100</v>
      </c>
      <c r="AG58" s="235" t="s">
        <v>119</v>
      </c>
      <c r="AH58" s="234">
        <f>IF(AF58&lt;80,3,IF(AF58&gt;=80,IF(AF58&lt;=120,2,1)))</f>
        <v>2</v>
      </c>
      <c r="AI58" s="229"/>
      <c r="AJ58" s="234">
        <f t="shared" si="12"/>
        <v>1</v>
      </c>
      <c r="AK58" s="234">
        <f t="shared" si="12"/>
        <v>1</v>
      </c>
      <c r="AL58" s="234">
        <f>IF(AK58&gt;0,AJ58/AK58*100,IF(AJ58=0,100,120))</f>
        <v>100</v>
      </c>
      <c r="AM58" s="235" t="s">
        <v>119</v>
      </c>
      <c r="AN58" s="234">
        <f>IF(AL58&lt;80,3,IF(AL58&gt;=80,IF(AL58&lt;=120,2,1)))</f>
        <v>2</v>
      </c>
      <c r="AO58" s="229"/>
      <c r="AP58" s="229"/>
      <c r="AQ58" s="229"/>
      <c r="AR58" s="234">
        <f t="shared" si="13"/>
        <v>0</v>
      </c>
      <c r="AS58" s="234">
        <f t="shared" si="13"/>
        <v>0</v>
      </c>
      <c r="AT58" s="234">
        <f>IF(AS58&gt;0,AR58/AS58*100,IF(AR58=0,100,120))</f>
        <v>100</v>
      </c>
      <c r="AU58" s="235" t="s">
        <v>119</v>
      </c>
      <c r="AV58" s="234">
        <f>IF(AT58&lt;80,3,IF(AT58&gt;=80,IF(AT58&lt;=120,2,1)))</f>
        <v>2</v>
      </c>
      <c r="AW58" s="232"/>
      <c r="AX58" s="234">
        <f t="shared" si="14"/>
        <v>0</v>
      </c>
      <c r="AY58" s="234">
        <f t="shared" si="14"/>
        <v>0</v>
      </c>
      <c r="AZ58" s="234">
        <f>IF(AY58&gt;0,AX58/AY58*100,IF(AX58=0,100,120))</f>
        <v>100</v>
      </c>
      <c r="BA58" s="235" t="s">
        <v>119</v>
      </c>
      <c r="BB58" s="234">
        <f>IF(AZ58&lt;80,3,IF(AZ58&gt;=80,IF(AZ58&lt;=120,2,1)))</f>
        <v>2</v>
      </c>
      <c r="BC58" s="229"/>
      <c r="BD58" s="234">
        <f t="shared" si="15"/>
        <v>0</v>
      </c>
      <c r="BE58" s="234">
        <f t="shared" si="15"/>
        <v>0</v>
      </c>
      <c r="BF58" s="234">
        <f>IF(BE58&gt;0,BD58/BE58*100,IF(BD58=0,100,120))</f>
        <v>100</v>
      </c>
      <c r="BG58" s="235" t="s">
        <v>119</v>
      </c>
      <c r="BH58" s="234">
        <f>IF(BF58&lt;80,3,IF(BF58&gt;=80,IF(BF58&lt;=120,2,1)))</f>
        <v>2</v>
      </c>
      <c r="BI58" s="229"/>
      <c r="BJ58" s="234">
        <f t="shared" si="16"/>
        <v>0</v>
      </c>
      <c r="BK58" s="234">
        <f t="shared" si="16"/>
        <v>0</v>
      </c>
      <c r="BL58" s="234">
        <f>IF(BK58&gt;0,BJ58/BK58*100,IF(BJ58=0,100,120))</f>
        <v>100</v>
      </c>
      <c r="BM58" s="235" t="s">
        <v>119</v>
      </c>
      <c r="BN58" s="234">
        <f>IF(BL58&lt;80,3,IF(BL58&gt;=80,IF(BL58&lt;=120,2,1)))</f>
        <v>2</v>
      </c>
    </row>
    <row r="59" spans="7:66" ht="33.75">
      <c r="G59" s="195" t="s">
        <v>124</v>
      </c>
      <c r="H59" s="201" t="s">
        <v>30</v>
      </c>
      <c r="I59" s="83"/>
      <c r="J59" s="270"/>
      <c r="K59" s="49"/>
      <c r="L59" s="234">
        <f t="shared" si="8"/>
        <v>1</v>
      </c>
      <c r="M59" s="234">
        <f t="shared" si="8"/>
        <v>1</v>
      </c>
      <c r="N59" s="234">
        <f>IF(M59&gt;0,L59/M59*100,IF(L59=0,100,120))</f>
        <v>100</v>
      </c>
      <c r="O59" s="235" t="s">
        <v>119</v>
      </c>
      <c r="P59" s="234">
        <f>IF(N59&lt;80,3,IF(N59&gt;=80,IF(N59&lt;=120,2,1)))</f>
        <v>2</v>
      </c>
      <c r="Q59" s="232"/>
      <c r="R59" s="234">
        <f t="shared" si="9"/>
        <v>1</v>
      </c>
      <c r="S59" s="234">
        <f t="shared" si="9"/>
        <v>1</v>
      </c>
      <c r="T59" s="234">
        <f>IF(S59&gt;0,R59/S59*100,IF(R59=0,100,120))</f>
        <v>100</v>
      </c>
      <c r="U59" s="235" t="s">
        <v>119</v>
      </c>
      <c r="V59" s="234">
        <f>IF(T59&lt;80,3,IF(T59&gt;=80,IF(T59&lt;=120,2,1)))</f>
        <v>2</v>
      </c>
      <c r="W59" s="232"/>
      <c r="X59" s="234">
        <f t="shared" si="10"/>
        <v>1</v>
      </c>
      <c r="Y59" s="234">
        <f t="shared" si="10"/>
        <v>1</v>
      </c>
      <c r="Z59" s="234">
        <f>IF(Y59&gt;0,X59/Y59*100,IF(X59=0,100,120))</f>
        <v>100</v>
      </c>
      <c r="AA59" s="235" t="s">
        <v>119</v>
      </c>
      <c r="AB59" s="234">
        <f>IF(Z59&lt;80,3,IF(Z59&gt;=80,IF(Z59&lt;=120,2,1)))</f>
        <v>2</v>
      </c>
      <c r="AC59" s="229"/>
      <c r="AD59" s="234">
        <f t="shared" si="11"/>
        <v>1</v>
      </c>
      <c r="AE59" s="234">
        <f t="shared" si="11"/>
        <v>1</v>
      </c>
      <c r="AF59" s="234">
        <f>IF(AE59&gt;0,AD59/AE59*100,IF(AD59=0,100,120))</f>
        <v>100</v>
      </c>
      <c r="AG59" s="235" t="s">
        <v>119</v>
      </c>
      <c r="AH59" s="234">
        <f>IF(AF59&lt;80,3,IF(AF59&gt;=80,IF(AF59&lt;=120,2,1)))</f>
        <v>2</v>
      </c>
      <c r="AI59" s="229"/>
      <c r="AJ59" s="234">
        <f t="shared" si="12"/>
        <v>1</v>
      </c>
      <c r="AK59" s="234">
        <f t="shared" si="12"/>
        <v>1</v>
      </c>
      <c r="AL59" s="234">
        <f>IF(AK59&gt;0,AJ59/AK59*100,IF(AJ59=0,100,120))</f>
        <v>100</v>
      </c>
      <c r="AM59" s="235" t="s">
        <v>119</v>
      </c>
      <c r="AN59" s="234">
        <f>IF(AL59&lt;80,3,IF(AL59&gt;=80,IF(AL59&lt;=120,2,1)))</f>
        <v>2</v>
      </c>
      <c r="AO59" s="229"/>
      <c r="AP59" s="229"/>
      <c r="AQ59" s="229"/>
      <c r="AR59" s="234">
        <f t="shared" si="13"/>
        <v>0</v>
      </c>
      <c r="AS59" s="234">
        <f t="shared" si="13"/>
        <v>0</v>
      </c>
      <c r="AT59" s="234">
        <f>IF(AS59&gt;0,AR59/AS59*100,IF(AR59=0,100,120))</f>
        <v>100</v>
      </c>
      <c r="AU59" s="235" t="s">
        <v>119</v>
      </c>
      <c r="AV59" s="234">
        <f>IF(AT59&lt;80,3,IF(AT59&gt;=80,IF(AT59&lt;=120,2,1)))</f>
        <v>2</v>
      </c>
      <c r="AW59" s="232"/>
      <c r="AX59" s="234">
        <f t="shared" si="14"/>
        <v>0</v>
      </c>
      <c r="AY59" s="234">
        <f t="shared" si="14"/>
        <v>0</v>
      </c>
      <c r="AZ59" s="234">
        <f>IF(AY59&gt;0,AX59/AY59*100,IF(AX59=0,100,120))</f>
        <v>100</v>
      </c>
      <c r="BA59" s="235" t="s">
        <v>119</v>
      </c>
      <c r="BB59" s="234">
        <f>IF(AZ59&lt;80,3,IF(AZ59&gt;=80,IF(AZ59&lt;=120,2,1)))</f>
        <v>2</v>
      </c>
      <c r="BC59" s="229"/>
      <c r="BD59" s="234">
        <f t="shared" si="15"/>
        <v>0</v>
      </c>
      <c r="BE59" s="234">
        <f t="shared" si="15"/>
        <v>0</v>
      </c>
      <c r="BF59" s="234">
        <f>IF(BE59&gt;0,BD59/BE59*100,IF(BD59=0,100,120))</f>
        <v>100</v>
      </c>
      <c r="BG59" s="235" t="s">
        <v>119</v>
      </c>
      <c r="BH59" s="234">
        <f>IF(BF59&lt;80,3,IF(BF59&gt;=80,IF(BF59&lt;=120,2,1)))</f>
        <v>2</v>
      </c>
      <c r="BI59" s="229"/>
      <c r="BJ59" s="234">
        <f t="shared" si="16"/>
        <v>0</v>
      </c>
      <c r="BK59" s="234">
        <f t="shared" si="16"/>
        <v>0</v>
      </c>
      <c r="BL59" s="234">
        <f>IF(BK59&gt;0,BJ59/BK59*100,IF(BJ59=0,100,120))</f>
        <v>100</v>
      </c>
      <c r="BM59" s="235" t="s">
        <v>119</v>
      </c>
      <c r="BN59" s="234">
        <f>IF(BL59&lt;80,3,IF(BL59&gt;=80,IF(BL59&lt;=120,2,1)))</f>
        <v>2</v>
      </c>
    </row>
    <row r="60" spans="7:66" ht="22.5">
      <c r="G60" s="195" t="s">
        <v>123</v>
      </c>
      <c r="H60" s="201" t="s">
        <v>164</v>
      </c>
      <c r="I60" s="83"/>
      <c r="J60" s="270"/>
      <c r="K60" s="49"/>
      <c r="L60" s="234">
        <f>L61</f>
        <v>0.16052974816895757</v>
      </c>
      <c r="M60" s="234">
        <f>M61</f>
        <v>19.99334110204761</v>
      </c>
      <c r="N60" s="234">
        <f>N61</f>
        <v>0.8029160676527296</v>
      </c>
      <c r="O60" s="235" t="s">
        <v>118</v>
      </c>
      <c r="P60" s="234">
        <f>P61</f>
        <v>1</v>
      </c>
      <c r="Q60" s="232"/>
      <c r="R60" s="234">
        <f>R61</f>
        <v>19.693440985516894</v>
      </c>
      <c r="S60" s="234">
        <f>S61</f>
        <v>19.693440985516894</v>
      </c>
      <c r="T60" s="234">
        <f>T61</f>
        <v>100</v>
      </c>
      <c r="U60" s="235" t="s">
        <v>118</v>
      </c>
      <c r="V60" s="234">
        <f>V61</f>
        <v>2</v>
      </c>
      <c r="W60" s="232"/>
      <c r="X60" s="234">
        <f>X61</f>
        <v>19.111368838161717</v>
      </c>
      <c r="Y60" s="234">
        <f>Y61</f>
        <v>19.111368838161717</v>
      </c>
      <c r="Z60" s="234">
        <f>Z61</f>
        <v>100</v>
      </c>
      <c r="AA60" s="235" t="s">
        <v>118</v>
      </c>
      <c r="AB60" s="234">
        <f>AB61</f>
        <v>2</v>
      </c>
      <c r="AC60" s="229"/>
      <c r="AD60" s="234">
        <f>AD61</f>
        <v>18.546500793684032</v>
      </c>
      <c r="AE60" s="234">
        <f>AE61</f>
        <v>18.546500793684032</v>
      </c>
      <c r="AF60" s="234">
        <f>AF61</f>
        <v>100</v>
      </c>
      <c r="AG60" s="235" t="s">
        <v>118</v>
      </c>
      <c r="AH60" s="234">
        <f>AH61</f>
        <v>2</v>
      </c>
      <c r="AI60" s="229"/>
      <c r="AJ60" s="234">
        <f>AJ61</f>
        <v>17.99832835643229</v>
      </c>
      <c r="AK60" s="234">
        <f>AK61</f>
        <v>17.99832835643229</v>
      </c>
      <c r="AL60" s="234">
        <f>AL61</f>
        <v>100</v>
      </c>
      <c r="AM60" s="235" t="s">
        <v>118</v>
      </c>
      <c r="AN60" s="234">
        <f>AN61</f>
        <v>2</v>
      </c>
      <c r="AO60" s="229"/>
      <c r="AP60" s="229"/>
      <c r="AQ60" s="229"/>
      <c r="AR60" s="234">
        <f>AR61</f>
        <v>0</v>
      </c>
      <c r="AS60" s="234">
        <f>AS61</f>
        <v>0</v>
      </c>
      <c r="AT60" s="234">
        <f>AT61</f>
        <v>100</v>
      </c>
      <c r="AU60" s="235" t="s">
        <v>118</v>
      </c>
      <c r="AV60" s="234">
        <f>AV61</f>
        <v>2</v>
      </c>
      <c r="AW60" s="232"/>
      <c r="AX60" s="234">
        <f>AX61</f>
        <v>0</v>
      </c>
      <c r="AY60" s="234">
        <f>AY61</f>
        <v>0</v>
      </c>
      <c r="AZ60" s="234">
        <f>AZ61</f>
        <v>100</v>
      </c>
      <c r="BA60" s="235" t="s">
        <v>118</v>
      </c>
      <c r="BB60" s="234">
        <f>BB61</f>
        <v>2</v>
      </c>
      <c r="BC60" s="229"/>
      <c r="BD60" s="234">
        <f>BD61</f>
        <v>0</v>
      </c>
      <c r="BE60" s="234">
        <f>BE61</f>
        <v>0</v>
      </c>
      <c r="BF60" s="234">
        <f>BF61</f>
        <v>100</v>
      </c>
      <c r="BG60" s="235" t="s">
        <v>118</v>
      </c>
      <c r="BH60" s="234">
        <f>BH61</f>
        <v>2</v>
      </c>
      <c r="BI60" s="229"/>
      <c r="BJ60" s="234">
        <f>BJ61</f>
        <v>0</v>
      </c>
      <c r="BK60" s="234">
        <f>BK61</f>
        <v>0</v>
      </c>
      <c r="BL60" s="234">
        <f>BL61</f>
        <v>100</v>
      </c>
      <c r="BM60" s="235" t="s">
        <v>118</v>
      </c>
      <c r="BN60" s="234">
        <f>BN61</f>
        <v>2</v>
      </c>
    </row>
    <row r="61" spans="7:66" ht="33.75">
      <c r="G61" s="195" t="s">
        <v>134</v>
      </c>
      <c r="H61" s="202" t="s">
        <v>278</v>
      </c>
      <c r="I61" s="365"/>
      <c r="J61" s="270"/>
      <c r="K61" s="200"/>
      <c r="L61" s="234">
        <f>IF(L30=0,0,L29/L30*100)</f>
        <v>0.16052974816895757</v>
      </c>
      <c r="M61" s="234">
        <f>IF(M30=0,0,M29/M30*100)</f>
        <v>19.99334110204761</v>
      </c>
      <c r="N61" s="234">
        <f>IF(M61&gt;0,L61/M61*100,IF(L61=0,100,120))</f>
        <v>0.8029160676527296</v>
      </c>
      <c r="O61" s="235" t="s">
        <v>118</v>
      </c>
      <c r="P61" s="234">
        <f>IF(N61&lt;80,1,IF(N61&gt;=80,IF(N61&lt;=120,2,3)))</f>
        <v>1</v>
      </c>
      <c r="Q61" s="232"/>
      <c r="R61" s="234">
        <f>IF(R30=0,0,R29/R30*100)</f>
        <v>19.693440985516894</v>
      </c>
      <c r="S61" s="234">
        <f>IF(S30=0,0,S29/S30*100)</f>
        <v>19.693440985516894</v>
      </c>
      <c r="T61" s="234">
        <f>IF(S61&gt;0,R61/S61*100,IF(R61=0,100,120))</f>
        <v>100</v>
      </c>
      <c r="U61" s="235" t="s">
        <v>118</v>
      </c>
      <c r="V61" s="234">
        <f>IF(T61&lt;80,1,IF(T61&gt;=80,IF(T61&lt;=120,2,3)))</f>
        <v>2</v>
      </c>
      <c r="W61" s="232"/>
      <c r="X61" s="234">
        <f>IF(X30=0,0,X29/X30*100)</f>
        <v>19.111368838161717</v>
      </c>
      <c r="Y61" s="234">
        <f>IF(Y30=0,0,Y29/Y30*100)</f>
        <v>19.111368838161717</v>
      </c>
      <c r="Z61" s="234">
        <f>IF(Y61&gt;0,X61/Y61*100,IF(X61=0,100,120))</f>
        <v>100</v>
      </c>
      <c r="AA61" s="235" t="s">
        <v>118</v>
      </c>
      <c r="AB61" s="234">
        <f>IF(Z61&lt;80,1,IF(Z61&gt;=80,IF(Z61&lt;=120,2,3)))</f>
        <v>2</v>
      </c>
      <c r="AC61" s="229"/>
      <c r="AD61" s="234">
        <f>IF(AD30=0,0,AD29/AD30*100)</f>
        <v>18.546500793684032</v>
      </c>
      <c r="AE61" s="234">
        <f>IF(AE30=0,0,AE29/AE30*100)</f>
        <v>18.546500793684032</v>
      </c>
      <c r="AF61" s="234">
        <f>IF(AE61&gt;0,AD61/AE61*100,IF(AD61=0,100,120))</f>
        <v>100</v>
      </c>
      <c r="AG61" s="235" t="s">
        <v>118</v>
      </c>
      <c r="AH61" s="234">
        <f>IF(AF61&lt;80,1,IF(AF61&gt;=80,IF(AF61&lt;=120,2,3)))</f>
        <v>2</v>
      </c>
      <c r="AI61" s="229"/>
      <c r="AJ61" s="234">
        <f>IF(AJ30=0,0,AJ29/AJ30*100)</f>
        <v>17.99832835643229</v>
      </c>
      <c r="AK61" s="234">
        <f>IF(AK30=0,0,AK29/AK30*100)</f>
        <v>17.99832835643229</v>
      </c>
      <c r="AL61" s="234">
        <f>IF(AK61&gt;0,AJ61/AK61*100,IF(AJ61=0,100,120))</f>
        <v>100</v>
      </c>
      <c r="AM61" s="235" t="s">
        <v>118</v>
      </c>
      <c r="AN61" s="234">
        <f>IF(AL61&lt;80,1,IF(AL61&gt;=80,IF(AL61&lt;=120,2,3)))</f>
        <v>2</v>
      </c>
      <c r="AO61" s="229"/>
      <c r="AP61" s="229"/>
      <c r="AQ61" s="229"/>
      <c r="AR61" s="234">
        <f>IF(AR30=0,0,AR29/AR30*100)</f>
        <v>0</v>
      </c>
      <c r="AS61" s="234">
        <f>IF(AS30=0,0,AS29/AS30*100)</f>
        <v>0</v>
      </c>
      <c r="AT61" s="234">
        <f>IF(AS61&gt;0,AR61/AS61*100,IF(AR61=0,100,120))</f>
        <v>100</v>
      </c>
      <c r="AU61" s="235" t="s">
        <v>118</v>
      </c>
      <c r="AV61" s="234">
        <f>IF(AT61&lt;80,1,IF(AT61&gt;=80,IF(AT61&lt;=120,2,3)))</f>
        <v>2</v>
      </c>
      <c r="AW61" s="232"/>
      <c r="AX61" s="234">
        <f>IF(AX30=0,0,AX29/AX30*100)</f>
        <v>0</v>
      </c>
      <c r="AY61" s="234">
        <f>IF(AY30=0,0,AY29/AY30*100)</f>
        <v>0</v>
      </c>
      <c r="AZ61" s="234">
        <f>IF(AY61&gt;0,AX61/AY61*100,IF(AX61=0,100,120))</f>
        <v>100</v>
      </c>
      <c r="BA61" s="235" t="s">
        <v>118</v>
      </c>
      <c r="BB61" s="234">
        <f>IF(AZ61&lt;80,1,IF(AZ61&gt;=80,IF(AZ61&lt;=120,2,3)))</f>
        <v>2</v>
      </c>
      <c r="BC61" s="229"/>
      <c r="BD61" s="234">
        <f>IF(BD30=0,0,BD29/BD30*100)</f>
        <v>0</v>
      </c>
      <c r="BE61" s="234">
        <f>IF(BE30=0,0,BE29/BE30*100)</f>
        <v>0</v>
      </c>
      <c r="BF61" s="234">
        <f>IF(BE61&gt;0,BD61/BE61*100,IF(BD61=0,100,120))</f>
        <v>100</v>
      </c>
      <c r="BG61" s="235" t="s">
        <v>118</v>
      </c>
      <c r="BH61" s="234">
        <f>IF(BF61&lt;80,1,IF(BF61&gt;=80,IF(BF61&lt;=120,2,3)))</f>
        <v>2</v>
      </c>
      <c r="BI61" s="229"/>
      <c r="BJ61" s="234">
        <f>IF(BJ30=0,0,BJ29/BJ30*100)</f>
        <v>0</v>
      </c>
      <c r="BK61" s="234">
        <f>IF(BK30=0,0,BK29/BK30*100)</f>
        <v>0</v>
      </c>
      <c r="BL61" s="234">
        <f>IF(BK61&gt;0,BJ61/BK61*100,IF(BJ61=0,100,120))</f>
        <v>100</v>
      </c>
      <c r="BM61" s="235" t="s">
        <v>118</v>
      </c>
      <c r="BN61" s="234">
        <f>IF(BL61&lt;80,1,IF(BL61&gt;=80,IF(BL61&lt;=120,2,3)))</f>
        <v>2</v>
      </c>
    </row>
    <row r="62" spans="7:66" ht="22.5">
      <c r="G62" s="195" t="s">
        <v>122</v>
      </c>
      <c r="H62" s="201" t="s">
        <v>279</v>
      </c>
      <c r="I62" s="83"/>
      <c r="J62" s="270"/>
      <c r="K62" s="49"/>
      <c r="L62" s="235"/>
      <c r="M62" s="235"/>
      <c r="N62" s="235"/>
      <c r="O62" s="235"/>
      <c r="P62" s="234">
        <f>(P64+P65)/2</f>
        <v>1</v>
      </c>
      <c r="Q62" s="232"/>
      <c r="R62" s="235"/>
      <c r="S62" s="235"/>
      <c r="T62" s="235"/>
      <c r="U62" s="235"/>
      <c r="V62" s="234">
        <f>(V64+V65)/2</f>
        <v>2</v>
      </c>
      <c r="W62" s="232"/>
      <c r="X62" s="235"/>
      <c r="Y62" s="235"/>
      <c r="Z62" s="235"/>
      <c r="AA62" s="235"/>
      <c r="AB62" s="234">
        <f>(AB64+AB65)/2</f>
        <v>2</v>
      </c>
      <c r="AC62" s="229"/>
      <c r="AD62" s="235"/>
      <c r="AE62" s="235"/>
      <c r="AF62" s="235"/>
      <c r="AG62" s="235"/>
      <c r="AH62" s="234">
        <f>(AH64+AH65)/2</f>
        <v>2</v>
      </c>
      <c r="AI62" s="229"/>
      <c r="AJ62" s="235"/>
      <c r="AK62" s="235"/>
      <c r="AL62" s="235"/>
      <c r="AM62" s="235"/>
      <c r="AN62" s="234">
        <f>(AN64+AN65)/2</f>
        <v>2</v>
      </c>
      <c r="AO62" s="229"/>
      <c r="AP62" s="229"/>
      <c r="AQ62" s="229"/>
      <c r="AR62" s="235"/>
      <c r="AS62" s="235"/>
      <c r="AT62" s="235"/>
      <c r="AU62" s="235"/>
      <c r="AV62" s="234">
        <f>(AV64+AV65)/2</f>
        <v>2</v>
      </c>
      <c r="AW62" s="232"/>
      <c r="AX62" s="235"/>
      <c r="AY62" s="235"/>
      <c r="AZ62" s="235"/>
      <c r="BA62" s="235"/>
      <c r="BB62" s="234">
        <f>(BB64+BB65)/2</f>
        <v>2</v>
      </c>
      <c r="BC62" s="229"/>
      <c r="BD62" s="235"/>
      <c r="BE62" s="235"/>
      <c r="BF62" s="235"/>
      <c r="BG62" s="235"/>
      <c r="BH62" s="234">
        <f>(BH64+BH65)/2</f>
        <v>2</v>
      </c>
      <c r="BI62" s="229"/>
      <c r="BJ62" s="235"/>
      <c r="BK62" s="235"/>
      <c r="BL62" s="235"/>
      <c r="BM62" s="235"/>
      <c r="BN62" s="234">
        <f>(BN64+BN65)/2</f>
        <v>2</v>
      </c>
    </row>
    <row r="63" spans="7:66" ht="11.25">
      <c r="G63" s="195"/>
      <c r="H63" s="201" t="s">
        <v>219</v>
      </c>
      <c r="I63" s="83"/>
      <c r="J63" s="270"/>
      <c r="K63" s="49"/>
      <c r="L63" s="230"/>
      <c r="M63" s="230"/>
      <c r="N63" s="230"/>
      <c r="O63" s="230"/>
      <c r="P63" s="230"/>
      <c r="Q63" s="232"/>
      <c r="R63" s="235"/>
      <c r="S63" s="235"/>
      <c r="T63" s="230"/>
      <c r="U63" s="230"/>
      <c r="V63" s="230"/>
      <c r="W63" s="232"/>
      <c r="X63" s="235"/>
      <c r="Y63" s="235"/>
      <c r="Z63" s="230"/>
      <c r="AA63" s="230"/>
      <c r="AB63" s="230"/>
      <c r="AC63" s="229"/>
      <c r="AD63" s="235"/>
      <c r="AE63" s="235"/>
      <c r="AF63" s="230"/>
      <c r="AG63" s="230"/>
      <c r="AH63" s="230"/>
      <c r="AI63" s="229"/>
      <c r="AJ63" s="235"/>
      <c r="AK63" s="235"/>
      <c r="AL63" s="230"/>
      <c r="AM63" s="230"/>
      <c r="AN63" s="230"/>
      <c r="AO63" s="229"/>
      <c r="AP63" s="229"/>
      <c r="AQ63" s="229"/>
      <c r="AR63" s="230"/>
      <c r="AS63" s="230"/>
      <c r="AT63" s="230"/>
      <c r="AU63" s="230"/>
      <c r="AV63" s="230"/>
      <c r="AW63" s="232"/>
      <c r="AX63" s="230"/>
      <c r="AY63" s="230"/>
      <c r="AZ63" s="230"/>
      <c r="BA63" s="230"/>
      <c r="BB63" s="230"/>
      <c r="BC63" s="229"/>
      <c r="BD63" s="230"/>
      <c r="BE63" s="230"/>
      <c r="BF63" s="230"/>
      <c r="BG63" s="230"/>
      <c r="BH63" s="230"/>
      <c r="BI63" s="229"/>
      <c r="BJ63" s="230"/>
      <c r="BK63" s="230"/>
      <c r="BL63" s="230"/>
      <c r="BM63" s="230"/>
      <c r="BN63" s="230"/>
    </row>
    <row r="64" spans="7:66" ht="22.5">
      <c r="G64" s="195" t="s">
        <v>129</v>
      </c>
      <c r="H64" s="202" t="s">
        <v>280</v>
      </c>
      <c r="I64" s="365"/>
      <c r="J64" s="270"/>
      <c r="K64" s="200"/>
      <c r="L64" s="234">
        <f>IF(L33=0,0,L32/L33*100)</f>
        <v>3.4212902578509077</v>
      </c>
      <c r="M64" s="234">
        <f>IF(M33=0,0,M32/M33*100)</f>
        <v>19.99334110204761</v>
      </c>
      <c r="N64" s="234">
        <f>IF(M64&gt;0,L64/M64*100,IF(L64=0,100,120))</f>
        <v>17.112148691848798</v>
      </c>
      <c r="O64" s="235" t="s">
        <v>118</v>
      </c>
      <c r="P64" s="234">
        <f>IF(N64&lt;80,1,IF(N64&gt;=80,IF(N64&lt;=120,2,3)))</f>
        <v>1</v>
      </c>
      <c r="Q64" s="232"/>
      <c r="R64" s="234">
        <f>IF(R33=0,0,R32/R33*100)</f>
        <v>19.693440985516894</v>
      </c>
      <c r="S64" s="234">
        <f>IF(S33=0,0,S32/S33*100)</f>
        <v>19.693440985516894</v>
      </c>
      <c r="T64" s="234">
        <f>IF(S64&gt;0,R64/S64*100,IF(R64=0,100,120))</f>
        <v>100</v>
      </c>
      <c r="U64" s="235" t="s">
        <v>118</v>
      </c>
      <c r="V64" s="234">
        <f>IF(T64&lt;80,1,IF(T64&gt;=80,IF(T64&lt;=120,2,3)))</f>
        <v>2</v>
      </c>
      <c r="W64" s="232"/>
      <c r="X64" s="234">
        <f>IF(X33=0,0,X32/X33*100)</f>
        <v>19.111368838161717</v>
      </c>
      <c r="Y64" s="234">
        <f>IF(Y33=0,0,Y32/Y33*100)</f>
        <v>19.111368838161717</v>
      </c>
      <c r="Z64" s="234">
        <f>IF(Y64&gt;0,X64/Y64*100,IF(X64=0,100,120))</f>
        <v>100</v>
      </c>
      <c r="AA64" s="235" t="s">
        <v>118</v>
      </c>
      <c r="AB64" s="234">
        <f>IF(Z64&lt;80,1,IF(Z64&gt;=80,IF(Z64&lt;=120,2,3)))</f>
        <v>2</v>
      </c>
      <c r="AC64" s="229"/>
      <c r="AD64" s="234">
        <f>IF(AD33=0,0,AD32/AD33*100)</f>
        <v>18.546500793684032</v>
      </c>
      <c r="AE64" s="234">
        <f>IF(AE33=0,0,AE32/AE33*100)</f>
        <v>18.546500793684032</v>
      </c>
      <c r="AF64" s="234">
        <f>IF(AE64&gt;0,AD64/AE64*100,IF(AD64=0,100,120))</f>
        <v>100</v>
      </c>
      <c r="AG64" s="235" t="s">
        <v>118</v>
      </c>
      <c r="AH64" s="234">
        <f>IF(AF64&lt;80,1,IF(AF64&gt;=80,IF(AF64&lt;=120,2,3)))</f>
        <v>2</v>
      </c>
      <c r="AI64" s="229"/>
      <c r="AJ64" s="234">
        <f>IF(AJ33=0,0,AJ32/AJ33*100)</f>
        <v>17.99832835643229</v>
      </c>
      <c r="AK64" s="234">
        <f>IF(AK33=0,0,AK32/AK33*100)</f>
        <v>17.99832835643229</v>
      </c>
      <c r="AL64" s="234">
        <f>IF(AK64&gt;0,AJ64/AK64*100,IF(AJ64=0,100,120))</f>
        <v>100</v>
      </c>
      <c r="AM64" s="235" t="s">
        <v>118</v>
      </c>
      <c r="AN64" s="234">
        <f>IF(AL64&lt;80,1,IF(AL64&gt;=80,IF(AL64&lt;=120,2,3)))</f>
        <v>2</v>
      </c>
      <c r="AO64" s="229"/>
      <c r="AP64" s="229"/>
      <c r="AQ64" s="229"/>
      <c r="AR64" s="234">
        <f>IF(AR33=0,0,AR32/AR33*100)</f>
        <v>0</v>
      </c>
      <c r="AS64" s="234">
        <f>IF(AS33=0,0,AS32/AS33*100)</f>
        <v>0</v>
      </c>
      <c r="AT64" s="234">
        <f>IF(AS64&gt;0,AR64/AS64*100,IF(AR64=0,100,120))</f>
        <v>100</v>
      </c>
      <c r="AU64" s="235" t="s">
        <v>118</v>
      </c>
      <c r="AV64" s="234">
        <f>IF(AT64&lt;80,1,IF(AT64&gt;=80,IF(AT64&lt;=120,2,3)))</f>
        <v>2</v>
      </c>
      <c r="AW64" s="232"/>
      <c r="AX64" s="234">
        <f>IF(AX33=0,0,AX32/AX33*100)</f>
        <v>0</v>
      </c>
      <c r="AY64" s="234">
        <f>IF(AY33=0,0,AY32/AY33*100)</f>
        <v>0</v>
      </c>
      <c r="AZ64" s="234">
        <f>IF(AY64&gt;0,AX64/AY64*100,IF(AX64=0,100,120))</f>
        <v>100</v>
      </c>
      <c r="BA64" s="235" t="s">
        <v>118</v>
      </c>
      <c r="BB64" s="234">
        <f>IF(AZ64&lt;80,1,IF(AZ64&gt;=80,IF(AZ64&lt;=120,2,3)))</f>
        <v>2</v>
      </c>
      <c r="BC64" s="229"/>
      <c r="BD64" s="234">
        <f>IF(BD33=0,0,BD32/BD33*100)</f>
        <v>0</v>
      </c>
      <c r="BE64" s="234">
        <f>IF(BE33=0,0,BE32/BE33*100)</f>
        <v>0</v>
      </c>
      <c r="BF64" s="234">
        <f>IF(BE64&gt;0,BD64/BE64*100,IF(BD64=0,100,120))</f>
        <v>100</v>
      </c>
      <c r="BG64" s="235" t="s">
        <v>118</v>
      </c>
      <c r="BH64" s="234">
        <f>IF(BF64&lt;80,1,IF(BF64&gt;=80,IF(BF64&lt;=120,2,3)))</f>
        <v>2</v>
      </c>
      <c r="BI64" s="229"/>
      <c r="BJ64" s="234">
        <f>IF(BJ33=0,0,BJ32/BJ33*100)</f>
        <v>0</v>
      </c>
      <c r="BK64" s="234">
        <f>IF(BK33=0,0,BK32/BK33*100)</f>
        <v>0</v>
      </c>
      <c r="BL64" s="234">
        <f>IF(BK64&gt;0,BJ64/BK64*100,IF(BJ64=0,100,120))</f>
        <v>100</v>
      </c>
      <c r="BM64" s="235" t="s">
        <v>118</v>
      </c>
      <c r="BN64" s="234">
        <f>IF(BL64&lt;80,1,IF(BL64&gt;=80,IF(BL64&lt;=120,2,3)))</f>
        <v>2</v>
      </c>
    </row>
    <row r="65" spans="7:66" ht="33.75">
      <c r="G65" s="195" t="s">
        <v>128</v>
      </c>
      <c r="H65" s="218" t="s">
        <v>281</v>
      </c>
      <c r="I65" s="168"/>
      <c r="J65" s="270"/>
      <c r="K65" s="185"/>
      <c r="L65" s="234">
        <f>IF(L35=0,0,L34/L35*100)</f>
        <v>0.030099327781679543</v>
      </c>
      <c r="M65" s="234">
        <f>IF(M35=0,0,M34/M35*100)</f>
        <v>0.083236224404861</v>
      </c>
      <c r="N65" s="234">
        <f>IF(M65&gt;0,L65/M65*100,IF(L65=0,100,120))</f>
        <v>36.1613323969098</v>
      </c>
      <c r="O65" s="235" t="s">
        <v>118</v>
      </c>
      <c r="P65" s="234">
        <f>IF(N65&lt;80,1,IF(N65&gt;=80,IF(N65&lt;=120,2,3)))</f>
        <v>1</v>
      </c>
      <c r="Q65" s="232"/>
      <c r="R65" s="234">
        <f>IF(R35=0,0,R34/R35*100)</f>
        <v>0.08198768103878808</v>
      </c>
      <c r="S65" s="234">
        <f>IF(S35=0,0,S34/S35*100)</f>
        <v>0.08198768103878808</v>
      </c>
      <c r="T65" s="234">
        <f>IF(S65&gt;0,R65/S65*100,IF(R65=0,100,120))</f>
        <v>100</v>
      </c>
      <c r="U65" s="235" t="s">
        <v>118</v>
      </c>
      <c r="V65" s="234">
        <f>IF(T65&lt;80,1,IF(T65&gt;=80,IF(T65&lt;=120,2,3)))</f>
        <v>2</v>
      </c>
      <c r="W65" s="232"/>
      <c r="X65" s="234">
        <f>IF(X35=0,0,X34/X35*100)</f>
        <v>0.07956439982581898</v>
      </c>
      <c r="Y65" s="234">
        <f>IF(Y35=0,0,Y34/Y35*100)</f>
        <v>0.07956439982581898</v>
      </c>
      <c r="Z65" s="234">
        <f>IF(Y65&gt;0,X65/Y65*100,IF(X65=0,100,120))</f>
        <v>100</v>
      </c>
      <c r="AA65" s="235" t="s">
        <v>118</v>
      </c>
      <c r="AB65" s="234">
        <f>IF(Z65&lt;80,1,IF(Z65&gt;=80,IF(Z65&lt;=120,2,3)))</f>
        <v>2</v>
      </c>
      <c r="AC65" s="229"/>
      <c r="AD65" s="234">
        <f>IF(AD35=0,0,AD34/AD35*100)</f>
        <v>0.07721274268811006</v>
      </c>
      <c r="AE65" s="234">
        <f>IF(AE35=0,0,AE34/AE35*100)</f>
        <v>0.07721274268811006</v>
      </c>
      <c r="AF65" s="234">
        <f>IF(AE65&gt;0,AD65/AE65*100,IF(AD65=0,100,120))</f>
        <v>100</v>
      </c>
      <c r="AG65" s="235" t="s">
        <v>118</v>
      </c>
      <c r="AH65" s="234">
        <f>IF(AF65&lt;80,1,IF(AF65&gt;=80,IF(AF65&lt;=120,2,3)))</f>
        <v>2</v>
      </c>
      <c r="AI65" s="229"/>
      <c r="AJ65" s="234">
        <f>IF(AJ35=0,0,AJ34/AJ35*100)</f>
        <v>0.07493059265791961</v>
      </c>
      <c r="AK65" s="234">
        <f>IF(AK35=0,0,AK34/AK35*100)</f>
        <v>0.07493059265791961</v>
      </c>
      <c r="AL65" s="234">
        <f>IF(AK65&gt;0,AJ65/AK65*100,IF(AJ65=0,100,120))</f>
        <v>100</v>
      </c>
      <c r="AM65" s="235" t="s">
        <v>118</v>
      </c>
      <c r="AN65" s="234">
        <f>IF(AL65&lt;80,1,IF(AL65&gt;=80,IF(AL65&lt;=120,2,3)))</f>
        <v>2</v>
      </c>
      <c r="AO65" s="229"/>
      <c r="AP65" s="229"/>
      <c r="AQ65" s="229"/>
      <c r="AR65" s="234">
        <f>IF(AR35=0,0,AR34/AR35*100)</f>
        <v>0</v>
      </c>
      <c r="AS65" s="234">
        <f>IF(AS35=0,0,AS34/AS35*100)</f>
        <v>0</v>
      </c>
      <c r="AT65" s="234">
        <f>IF(AS65&gt;0,AR65/AS65*100,IF(AR65=0,100,120))</f>
        <v>100</v>
      </c>
      <c r="AU65" s="235" t="s">
        <v>118</v>
      </c>
      <c r="AV65" s="234">
        <f>IF(AT65&lt;80,1,IF(AT65&gt;=80,IF(AT65&lt;=120,2,3)))</f>
        <v>2</v>
      </c>
      <c r="AW65" s="232"/>
      <c r="AX65" s="234">
        <f>IF(AX35=0,0,AX34/AX35*100)</f>
        <v>0</v>
      </c>
      <c r="AY65" s="234">
        <f>IF(AY35=0,0,AY34/AY35*100)</f>
        <v>0</v>
      </c>
      <c r="AZ65" s="234">
        <f>IF(AY65&gt;0,AX65/AY65*100,IF(AX65=0,100,120))</f>
        <v>100</v>
      </c>
      <c r="BA65" s="235" t="s">
        <v>118</v>
      </c>
      <c r="BB65" s="234">
        <f>IF(AZ65&lt;80,1,IF(AZ65&gt;=80,IF(AZ65&lt;=120,2,3)))</f>
        <v>2</v>
      </c>
      <c r="BC65" s="229"/>
      <c r="BD65" s="234">
        <f>IF(BD35=0,0,BD34/BD35*100)</f>
        <v>0</v>
      </c>
      <c r="BE65" s="234">
        <f>IF(BE35=0,0,BE34/BE35*100)</f>
        <v>0</v>
      </c>
      <c r="BF65" s="234">
        <f>IF(BE65&gt;0,BD65/BE65*100,IF(BD65=0,100,120))</f>
        <v>100</v>
      </c>
      <c r="BG65" s="235" t="s">
        <v>118</v>
      </c>
      <c r="BH65" s="234">
        <f>IF(BF65&lt;80,1,IF(BF65&gt;=80,IF(BF65&lt;=120,2,3)))</f>
        <v>2</v>
      </c>
      <c r="BI65" s="229"/>
      <c r="BJ65" s="234">
        <f>IF(BJ35=0,0,BJ34/BJ35*100)</f>
        <v>0</v>
      </c>
      <c r="BK65" s="234">
        <f>IF(BK35=0,0,BK34/BK35*100)</f>
        <v>0</v>
      </c>
      <c r="BL65" s="234">
        <f>IF(BK65&gt;0,BJ65/BK65*100,IF(BJ65=0,100,120))</f>
        <v>100</v>
      </c>
      <c r="BM65" s="235" t="s">
        <v>118</v>
      </c>
      <c r="BN65" s="234">
        <f>IF(BL65&lt;80,1,IF(BL65&gt;=80,IF(BL65&lt;=120,2,3)))</f>
        <v>2</v>
      </c>
    </row>
    <row r="66" spans="7:66" ht="11.25">
      <c r="G66" s="195" t="s">
        <v>121</v>
      </c>
      <c r="H66" s="201" t="s">
        <v>282</v>
      </c>
      <c r="I66" s="83"/>
      <c r="J66" s="270"/>
      <c r="K66" s="49"/>
      <c r="L66" s="235"/>
      <c r="M66" s="235"/>
      <c r="N66" s="235"/>
      <c r="O66" s="235"/>
      <c r="P66" s="246">
        <f>(P44+P53+P58+P59+P60+P62)/6</f>
        <v>1.6666666666666667</v>
      </c>
      <c r="Q66" s="233"/>
      <c r="R66" s="235"/>
      <c r="S66" s="235"/>
      <c r="T66" s="235"/>
      <c r="U66" s="235"/>
      <c r="V66" s="246">
        <f>(V44+V53+V58+V59+V60+V62)/6</f>
        <v>2</v>
      </c>
      <c r="W66" s="233"/>
      <c r="X66" s="235"/>
      <c r="Y66" s="235"/>
      <c r="Z66" s="235"/>
      <c r="AA66" s="235"/>
      <c r="AB66" s="246">
        <f>(AB44+AB53+AB58+AB59+AB60+AB62)/6</f>
        <v>2</v>
      </c>
      <c r="AC66" s="229"/>
      <c r="AD66" s="235"/>
      <c r="AE66" s="235"/>
      <c r="AF66" s="235"/>
      <c r="AG66" s="235"/>
      <c r="AH66" s="246">
        <f>(AH44+AH53+AH58+AH59+AH60+AH62)/6</f>
        <v>2</v>
      </c>
      <c r="AI66" s="229"/>
      <c r="AJ66" s="235"/>
      <c r="AK66" s="235"/>
      <c r="AL66" s="235"/>
      <c r="AM66" s="235"/>
      <c r="AN66" s="246">
        <f>(AN44+AN53+AN58+AN59+AN60+AN62)/6</f>
        <v>2</v>
      </c>
      <c r="AO66" s="229"/>
      <c r="AP66" s="229"/>
      <c r="AQ66" s="229"/>
      <c r="AR66" s="235"/>
      <c r="AS66" s="235"/>
      <c r="AT66" s="235"/>
      <c r="AU66" s="235"/>
      <c r="AV66" s="246">
        <f>(AV44+AV53+AV58+AV59+AV60+AV62)/6</f>
        <v>2</v>
      </c>
      <c r="AW66" s="233"/>
      <c r="AX66" s="235"/>
      <c r="AY66" s="235"/>
      <c r="AZ66" s="235"/>
      <c r="BA66" s="235"/>
      <c r="BB66" s="246">
        <f>(BB44+BB53+BB58+BB59+BB60+BB62)/6</f>
        <v>2</v>
      </c>
      <c r="BC66" s="229"/>
      <c r="BD66" s="235"/>
      <c r="BE66" s="235"/>
      <c r="BF66" s="235"/>
      <c r="BG66" s="235"/>
      <c r="BH66" s="246">
        <f>(BH44+BH53+BH58+BH59+BH60+BH62)/6</f>
        <v>2</v>
      </c>
      <c r="BI66" s="229"/>
      <c r="BJ66" s="235"/>
      <c r="BK66" s="235"/>
      <c r="BL66" s="235"/>
      <c r="BM66" s="235"/>
      <c r="BN66" s="246">
        <f>(BN44+BN53+BN58+BN59+BN60+BN62)/6</f>
        <v>2</v>
      </c>
    </row>
    <row r="67" spans="7:66" ht="11.25">
      <c r="G67" s="76"/>
      <c r="H67" s="48"/>
      <c r="I67" s="48"/>
      <c r="J67" s="48"/>
      <c r="K67" s="48"/>
      <c r="L67" s="238"/>
      <c r="M67" s="238"/>
      <c r="N67" s="238"/>
      <c r="O67" s="238"/>
      <c r="P67" s="238"/>
      <c r="Q67" s="247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</row>
    <row r="68" spans="7:37" s="379" customFormat="1" ht="11.25">
      <c r="G68" s="377"/>
      <c r="H68" s="377" t="s">
        <v>92</v>
      </c>
      <c r="I68" s="377"/>
      <c r="J68" s="377"/>
      <c r="K68" s="377"/>
      <c r="L68" s="378"/>
      <c r="M68" s="378"/>
      <c r="R68" s="392"/>
      <c r="S68" s="392"/>
      <c r="X68" s="392"/>
      <c r="Y68" s="392"/>
      <c r="AD68" s="392"/>
      <c r="AE68" s="392"/>
      <c r="AJ68" s="392"/>
      <c r="AK68" s="392"/>
    </row>
    <row r="69" spans="7:37" s="379" customFormat="1" ht="11.25">
      <c r="G69" s="377"/>
      <c r="H69" s="381"/>
      <c r="I69" s="381"/>
      <c r="J69" s="381"/>
      <c r="K69" s="381"/>
      <c r="R69" s="392"/>
      <c r="S69" s="392"/>
      <c r="X69" s="392"/>
      <c r="Y69" s="392"/>
      <c r="AD69" s="392"/>
      <c r="AE69" s="392"/>
      <c r="AJ69" s="392"/>
      <c r="AK69" s="392"/>
    </row>
    <row r="70" spans="7:37" s="379" customFormat="1" ht="11.25" customHeight="1">
      <c r="G70" s="382"/>
      <c r="H70" s="382"/>
      <c r="I70" s="382"/>
      <c r="J70" s="382"/>
      <c r="K70" s="382"/>
      <c r="L70" s="383"/>
      <c r="M70" s="383"/>
      <c r="N70" s="383"/>
      <c r="O70" s="383"/>
      <c r="P70" s="59" t="str">
        <f>IF(fioRUK="","Руководитель не задан",fioRUK)</f>
        <v>Муравин Алексей Анатольевич</v>
      </c>
      <c r="Q70" s="173"/>
      <c r="R70" s="392"/>
      <c r="S70" s="392"/>
      <c r="X70" s="392"/>
      <c r="Y70" s="392"/>
      <c r="AD70" s="392"/>
      <c r="AE70" s="392"/>
      <c r="AJ70" s="392"/>
      <c r="AK70" s="392"/>
    </row>
    <row r="71" spans="7:37" s="379" customFormat="1" ht="11.25" customHeight="1">
      <c r="G71" s="579" t="s">
        <v>93</v>
      </c>
      <c r="H71" s="579"/>
      <c r="I71" s="60"/>
      <c r="J71" s="60"/>
      <c r="K71" s="60"/>
      <c r="L71" s="636" t="s">
        <v>94</v>
      </c>
      <c r="M71" s="636"/>
      <c r="N71" s="636"/>
      <c r="O71" s="636"/>
      <c r="P71" s="636"/>
      <c r="Q71" s="60"/>
      <c r="R71" s="392"/>
      <c r="S71" s="392"/>
      <c r="X71" s="392"/>
      <c r="Y71" s="392"/>
      <c r="AD71" s="392"/>
      <c r="AE71" s="392"/>
      <c r="AJ71" s="392"/>
      <c r="AK71" s="392"/>
    </row>
    <row r="72" spans="7:37" s="379" customFormat="1" ht="11.25" customHeight="1">
      <c r="G72" s="61" t="str">
        <f>IF(doljnDL="","Должность не задана",doljnDL)</f>
        <v>и.о. заместителя генерального директора по реализации услуг</v>
      </c>
      <c r="H72" s="382"/>
      <c r="I72" s="382"/>
      <c r="J72" s="382"/>
      <c r="K72" s="382"/>
      <c r="L72" s="383"/>
      <c r="M72" s="383"/>
      <c r="N72" s="383"/>
      <c r="O72" s="383"/>
      <c r="P72" s="59" t="str">
        <f>IF(fioDL="","Должностное лицо не задано",fioDL)</f>
        <v>Смышляева Елена Николаевна</v>
      </c>
      <c r="Q72" s="173"/>
      <c r="R72" s="392"/>
      <c r="S72" s="392"/>
      <c r="X72" s="392"/>
      <c r="Y72" s="392"/>
      <c r="AD72" s="392"/>
      <c r="AE72" s="392"/>
      <c r="AJ72" s="392"/>
      <c r="AK72" s="392"/>
    </row>
    <row r="73" spans="7:37" s="379" customFormat="1" ht="11.25">
      <c r="G73" s="579" t="s">
        <v>95</v>
      </c>
      <c r="H73" s="579"/>
      <c r="I73" s="60"/>
      <c r="J73" s="60"/>
      <c r="K73" s="60"/>
      <c r="L73" s="635" t="s">
        <v>94</v>
      </c>
      <c r="M73" s="635"/>
      <c r="N73" s="635"/>
      <c r="O73" s="635"/>
      <c r="P73" s="635"/>
      <c r="Q73" s="151"/>
      <c r="R73" s="392"/>
      <c r="S73" s="392"/>
      <c r="X73" s="392"/>
      <c r="Y73" s="392"/>
      <c r="AD73" s="392"/>
      <c r="AE73" s="392"/>
      <c r="AJ73" s="392"/>
      <c r="AK73" s="392"/>
    </row>
    <row r="74" spans="7:37" s="379" customFormat="1" ht="11.25">
      <c r="G74" s="65" t="str">
        <f>IF(DL_Tel&lt;&gt;"","Телефон: "&amp;DL_Tel&amp;", ","")&amp;IF(DL_email&lt;&gt;"","e-mail: "&amp;DL_email,"")</f>
        <v>Телефон: (88162)680112, e-mail: smen@nokes.natm.ru</v>
      </c>
      <c r="H74" s="384"/>
      <c r="I74" s="384"/>
      <c r="J74" s="384"/>
      <c r="K74" s="384"/>
      <c r="L74" s="385"/>
      <c r="M74" s="385"/>
      <c r="N74" s="383"/>
      <c r="O74" s="383"/>
      <c r="P74" s="383"/>
      <c r="Q74" s="385"/>
      <c r="R74" s="392"/>
      <c r="S74" s="392"/>
      <c r="X74" s="392"/>
      <c r="Y74" s="392"/>
      <c r="AD74" s="392"/>
      <c r="AE74" s="392"/>
      <c r="AJ74" s="392"/>
      <c r="AK74" s="392"/>
    </row>
    <row r="75" spans="7:37" s="379" customFormat="1" ht="11.25">
      <c r="G75" s="579" t="s">
        <v>96</v>
      </c>
      <c r="H75" s="579"/>
      <c r="I75" s="81"/>
      <c r="J75" s="81"/>
      <c r="K75" s="81"/>
      <c r="L75" s="416"/>
      <c r="M75" s="416"/>
      <c r="R75" s="392"/>
      <c r="S75" s="392"/>
      <c r="X75" s="392"/>
      <c r="Y75" s="392"/>
      <c r="AD75" s="392"/>
      <c r="AE75" s="392"/>
      <c r="AJ75" s="392"/>
      <c r="AK75" s="392"/>
    </row>
  </sheetData>
  <sheetProtection formatColumns="0" formatRows="0"/>
  <mergeCells count="59">
    <mergeCell ref="BM41:BM42"/>
    <mergeCell ref="BN41:BN42"/>
    <mergeCell ref="BB41:BB42"/>
    <mergeCell ref="BD41:BE41"/>
    <mergeCell ref="BF41:BF42"/>
    <mergeCell ref="BG41:BG42"/>
    <mergeCell ref="BH41:BH42"/>
    <mergeCell ref="BJ41:BK41"/>
    <mergeCell ref="BL41:BL42"/>
    <mergeCell ref="G75:H75"/>
    <mergeCell ref="G41:G42"/>
    <mergeCell ref="H41:H42"/>
    <mergeCell ref="G71:H71"/>
    <mergeCell ref="G73:H73"/>
    <mergeCell ref="P41:P42"/>
    <mergeCell ref="L73:P73"/>
    <mergeCell ref="O41:O42"/>
    <mergeCell ref="N41:N42"/>
    <mergeCell ref="L71:P71"/>
    <mergeCell ref="BJ11:BK11"/>
    <mergeCell ref="AR41:AS41"/>
    <mergeCell ref="AU41:AU42"/>
    <mergeCell ref="AV41:AV42"/>
    <mergeCell ref="AX41:AY41"/>
    <mergeCell ref="AZ41:AZ42"/>
    <mergeCell ref="BA41:BA42"/>
    <mergeCell ref="AR11:AS11"/>
    <mergeCell ref="AT41:AT42"/>
    <mergeCell ref="BD11:BE11"/>
    <mergeCell ref="G11:G12"/>
    <mergeCell ref="L39:P40"/>
    <mergeCell ref="AD11:AE11"/>
    <mergeCell ref="AL41:AL42"/>
    <mergeCell ref="AD41:AE41"/>
    <mergeCell ref="AG41:AG42"/>
    <mergeCell ref="X11:Y11"/>
    <mergeCell ref="AF41:AF42"/>
    <mergeCell ref="AJ41:AK41"/>
    <mergeCell ref="AH41:AH42"/>
    <mergeCell ref="R11:S11"/>
    <mergeCell ref="AA41:AA42"/>
    <mergeCell ref="Z41:Z42"/>
    <mergeCell ref="X41:Y41"/>
    <mergeCell ref="L41:M41"/>
    <mergeCell ref="G8:H8"/>
    <mergeCell ref="G9:H9"/>
    <mergeCell ref="G39:H39"/>
    <mergeCell ref="G40:H40"/>
    <mergeCell ref="H11:H12"/>
    <mergeCell ref="V41:V42"/>
    <mergeCell ref="U41:U42"/>
    <mergeCell ref="T41:T42"/>
    <mergeCell ref="L11:M11"/>
    <mergeCell ref="AX11:AY11"/>
    <mergeCell ref="AB41:AB42"/>
    <mergeCell ref="AJ11:AK11"/>
    <mergeCell ref="AN41:AN42"/>
    <mergeCell ref="AM41:AM42"/>
    <mergeCell ref="R41:S41"/>
  </mergeCells>
  <conditionalFormatting sqref="L44 L46 L48:L49 N45 L71 R44 T45 Z45 J46 J48:J49 J44">
    <cfRule type="cellIs" priority="208" dxfId="0" operator="equal" stopIfTrue="1">
      <formula>""""""</formula>
    </cfRule>
    <cfRule type="cellIs" priority="209" dxfId="0" operator="between" stopIfTrue="1">
      <formula>""""""</formula>
      <formula>""""""</formula>
    </cfRule>
    <cfRule type="cellIs" priority="210" dxfId="0" operator="equal" stopIfTrue="1">
      <formula>""""""</formula>
    </cfRule>
  </conditionalFormatting>
  <conditionalFormatting sqref="AF45">
    <cfRule type="cellIs" priority="142" dxfId="0" operator="equal" stopIfTrue="1">
      <formula>""""""</formula>
    </cfRule>
    <cfRule type="cellIs" priority="143" dxfId="0" operator="between" stopIfTrue="1">
      <formula>""""""</formula>
      <formula>""""""</formula>
    </cfRule>
    <cfRule type="cellIs" priority="144" dxfId="0" operator="equal" stopIfTrue="1">
      <formula>""""""</formula>
    </cfRule>
  </conditionalFormatting>
  <conditionalFormatting sqref="AL45">
    <cfRule type="cellIs" priority="136" dxfId="0" operator="equal" stopIfTrue="1">
      <formula>""""""</formula>
    </cfRule>
    <cfRule type="cellIs" priority="137" dxfId="0" operator="between" stopIfTrue="1">
      <formula>""""""</formula>
      <formula>""""""</formula>
    </cfRule>
    <cfRule type="cellIs" priority="138" dxfId="0" operator="equal" stopIfTrue="1">
      <formula>""""""</formula>
    </cfRule>
  </conditionalFormatting>
  <conditionalFormatting sqref="AR23:AR27">
    <cfRule type="cellIs" priority="109" dxfId="3" operator="equal" stopIfTrue="1">
      <formula>""""""</formula>
    </cfRule>
    <cfRule type="cellIs" priority="110" dxfId="3" operator="between" stopIfTrue="1">
      <formula>""""""</formula>
      <formula>""""""</formula>
    </cfRule>
    <cfRule type="cellIs" priority="111" dxfId="3" operator="equal" stopIfTrue="1">
      <formula>""""""</formula>
    </cfRule>
  </conditionalFormatting>
  <conditionalFormatting sqref="AR15:AR21">
    <cfRule type="cellIs" priority="112" dxfId="3" operator="equal" stopIfTrue="1">
      <formula>""""""</formula>
    </cfRule>
    <cfRule type="cellIs" priority="113" dxfId="3" operator="between" stopIfTrue="1">
      <formula>""""""</formula>
      <formula>""""""</formula>
    </cfRule>
    <cfRule type="cellIs" priority="114" dxfId="3" operator="equal" stopIfTrue="1">
      <formula>""""""</formula>
    </cfRule>
  </conditionalFormatting>
  <conditionalFormatting sqref="AR29:AR30">
    <cfRule type="cellIs" priority="106" dxfId="3" operator="equal" stopIfTrue="1">
      <formula>""""""</formula>
    </cfRule>
    <cfRule type="cellIs" priority="107" dxfId="3" operator="between" stopIfTrue="1">
      <formula>""""""</formula>
      <formula>""""""</formula>
    </cfRule>
    <cfRule type="cellIs" priority="108" dxfId="3" operator="equal" stopIfTrue="1">
      <formula>""""""</formula>
    </cfRule>
  </conditionalFormatting>
  <conditionalFormatting sqref="AR32:AR34">
    <cfRule type="cellIs" priority="103" dxfId="3" operator="equal" stopIfTrue="1">
      <formula>""""""</formula>
    </cfRule>
    <cfRule type="cellIs" priority="104" dxfId="3" operator="between" stopIfTrue="1">
      <formula>""""""</formula>
      <formula>""""""</formula>
    </cfRule>
    <cfRule type="cellIs" priority="105" dxfId="3" operator="equal" stopIfTrue="1">
      <formula>""""""</formula>
    </cfRule>
  </conditionalFormatting>
  <conditionalFormatting sqref="AR35">
    <cfRule type="cellIs" priority="100" dxfId="3" operator="equal" stopIfTrue="1">
      <formula>""""""</formula>
    </cfRule>
    <cfRule type="cellIs" priority="101" dxfId="3" operator="between" stopIfTrue="1">
      <formula>""""""</formula>
      <formula>""""""</formula>
    </cfRule>
    <cfRule type="cellIs" priority="102" dxfId="3" operator="equal" stopIfTrue="1">
      <formula>""""""</formula>
    </cfRule>
  </conditionalFormatting>
  <conditionalFormatting sqref="AR44 AR46 AR48:AR49 AT45">
    <cfRule type="cellIs" priority="97" dxfId="0" operator="equal" stopIfTrue="1">
      <formula>""""""</formula>
    </cfRule>
    <cfRule type="cellIs" priority="98" dxfId="0" operator="between" stopIfTrue="1">
      <formula>""""""</formula>
      <formula>""""""</formula>
    </cfRule>
    <cfRule type="cellIs" priority="99" dxfId="0" operator="equal" stopIfTrue="1">
      <formula>""""""</formula>
    </cfRule>
  </conditionalFormatting>
  <conditionalFormatting sqref="AX15:AX21">
    <cfRule type="cellIs" priority="94" dxfId="3" operator="equal" stopIfTrue="1">
      <formula>""""""</formula>
    </cfRule>
    <cfRule type="cellIs" priority="95" dxfId="3" operator="between" stopIfTrue="1">
      <formula>""""""</formula>
      <formula>""""""</formula>
    </cfRule>
    <cfRule type="cellIs" priority="96" dxfId="3" operator="equal" stopIfTrue="1">
      <formula>""""""</formula>
    </cfRule>
  </conditionalFormatting>
  <conditionalFormatting sqref="AX23:AX27">
    <cfRule type="cellIs" priority="91" dxfId="3" operator="equal" stopIfTrue="1">
      <formula>""""""</formula>
    </cfRule>
    <cfRule type="cellIs" priority="92" dxfId="3" operator="between" stopIfTrue="1">
      <formula>""""""</formula>
      <formula>""""""</formula>
    </cfRule>
    <cfRule type="cellIs" priority="93" dxfId="3" operator="equal" stopIfTrue="1">
      <formula>""""""</formula>
    </cfRule>
  </conditionalFormatting>
  <conditionalFormatting sqref="AX29:AX30">
    <cfRule type="cellIs" priority="88" dxfId="3" operator="equal" stopIfTrue="1">
      <formula>""""""</formula>
    </cfRule>
    <cfRule type="cellIs" priority="89" dxfId="3" operator="between" stopIfTrue="1">
      <formula>""""""</formula>
      <formula>""""""</formula>
    </cfRule>
    <cfRule type="cellIs" priority="90" dxfId="3" operator="equal" stopIfTrue="1">
      <formula>""""""</formula>
    </cfRule>
  </conditionalFormatting>
  <conditionalFormatting sqref="AX32:AX34">
    <cfRule type="cellIs" priority="85" dxfId="3" operator="equal" stopIfTrue="1">
      <formula>""""""</formula>
    </cfRule>
    <cfRule type="cellIs" priority="86" dxfId="3" operator="between" stopIfTrue="1">
      <formula>""""""</formula>
      <formula>""""""</formula>
    </cfRule>
    <cfRule type="cellIs" priority="87" dxfId="3" operator="equal" stopIfTrue="1">
      <formula>""""""</formula>
    </cfRule>
  </conditionalFormatting>
  <conditionalFormatting sqref="AX35">
    <cfRule type="cellIs" priority="82" dxfId="3" operator="equal" stopIfTrue="1">
      <formula>""""""</formula>
    </cfRule>
    <cfRule type="cellIs" priority="83" dxfId="3" operator="between" stopIfTrue="1">
      <formula>""""""</formula>
      <formula>""""""</formula>
    </cfRule>
    <cfRule type="cellIs" priority="84" dxfId="3" operator="equal" stopIfTrue="1">
      <formula>""""""</formula>
    </cfRule>
  </conditionalFormatting>
  <conditionalFormatting sqref="AX44 AX46 AX48:AX49 AZ45">
    <cfRule type="cellIs" priority="79" dxfId="0" operator="equal" stopIfTrue="1">
      <formula>""""""</formula>
    </cfRule>
    <cfRule type="cellIs" priority="80" dxfId="0" operator="between" stopIfTrue="1">
      <formula>""""""</formula>
      <formula>""""""</formula>
    </cfRule>
    <cfRule type="cellIs" priority="81" dxfId="0" operator="equal" stopIfTrue="1">
      <formula>""""""</formula>
    </cfRule>
  </conditionalFormatting>
  <conditionalFormatting sqref="BD15:BD21">
    <cfRule type="cellIs" priority="67" dxfId="3" operator="equal" stopIfTrue="1">
      <formula>""""""</formula>
    </cfRule>
    <cfRule type="cellIs" priority="68" dxfId="3" operator="between" stopIfTrue="1">
      <formula>""""""</formula>
      <formula>""""""</formula>
    </cfRule>
    <cfRule type="cellIs" priority="69" dxfId="3" operator="equal" stopIfTrue="1">
      <formula>""""""</formula>
    </cfRule>
  </conditionalFormatting>
  <conditionalFormatting sqref="BD23:BD27">
    <cfRule type="cellIs" priority="64" dxfId="3" operator="equal" stopIfTrue="1">
      <formula>""""""</formula>
    </cfRule>
    <cfRule type="cellIs" priority="65" dxfId="3" operator="between" stopIfTrue="1">
      <formula>""""""</formula>
      <formula>""""""</formula>
    </cfRule>
    <cfRule type="cellIs" priority="66" dxfId="3" operator="equal" stopIfTrue="1">
      <formula>""""""</formula>
    </cfRule>
  </conditionalFormatting>
  <conditionalFormatting sqref="BD29:BD30">
    <cfRule type="cellIs" priority="61" dxfId="3" operator="equal" stopIfTrue="1">
      <formula>""""""</formula>
    </cfRule>
    <cfRule type="cellIs" priority="62" dxfId="3" operator="between" stopIfTrue="1">
      <formula>""""""</formula>
      <formula>""""""</formula>
    </cfRule>
    <cfRule type="cellIs" priority="63" dxfId="3" operator="equal" stopIfTrue="1">
      <formula>""""""</formula>
    </cfRule>
  </conditionalFormatting>
  <conditionalFormatting sqref="BD32:BD34">
    <cfRule type="cellIs" priority="58" dxfId="3" operator="equal" stopIfTrue="1">
      <formula>""""""</formula>
    </cfRule>
    <cfRule type="cellIs" priority="59" dxfId="3" operator="between" stopIfTrue="1">
      <formula>""""""</formula>
      <formula>""""""</formula>
    </cfRule>
    <cfRule type="cellIs" priority="60" dxfId="3" operator="equal" stopIfTrue="1">
      <formula>""""""</formula>
    </cfRule>
  </conditionalFormatting>
  <conditionalFormatting sqref="BD35">
    <cfRule type="cellIs" priority="55" dxfId="3" operator="equal" stopIfTrue="1">
      <formula>""""""</formula>
    </cfRule>
    <cfRule type="cellIs" priority="56" dxfId="3" operator="between" stopIfTrue="1">
      <formula>""""""</formula>
      <formula>""""""</formula>
    </cfRule>
    <cfRule type="cellIs" priority="57" dxfId="3" operator="equal" stopIfTrue="1">
      <formula>""""""</formula>
    </cfRule>
  </conditionalFormatting>
  <conditionalFormatting sqref="BJ15:BJ21">
    <cfRule type="cellIs" priority="52" dxfId="3" operator="equal" stopIfTrue="1">
      <formula>""""""</formula>
    </cfRule>
    <cfRule type="cellIs" priority="53" dxfId="3" operator="between" stopIfTrue="1">
      <formula>""""""</formula>
      <formula>""""""</formula>
    </cfRule>
    <cfRule type="cellIs" priority="54" dxfId="3" operator="equal" stopIfTrue="1">
      <formula>""""""</formula>
    </cfRule>
  </conditionalFormatting>
  <conditionalFormatting sqref="BJ23:BJ27">
    <cfRule type="cellIs" priority="49" dxfId="3" operator="equal" stopIfTrue="1">
      <formula>""""""</formula>
    </cfRule>
    <cfRule type="cellIs" priority="50" dxfId="3" operator="between" stopIfTrue="1">
      <formula>""""""</formula>
      <formula>""""""</formula>
    </cfRule>
    <cfRule type="cellIs" priority="51" dxfId="3" operator="equal" stopIfTrue="1">
      <formula>""""""</formula>
    </cfRule>
  </conditionalFormatting>
  <conditionalFormatting sqref="BJ29:BJ30">
    <cfRule type="cellIs" priority="46" dxfId="3" operator="equal" stopIfTrue="1">
      <formula>""""""</formula>
    </cfRule>
    <cfRule type="cellIs" priority="47" dxfId="3" operator="between" stopIfTrue="1">
      <formula>""""""</formula>
      <formula>""""""</formula>
    </cfRule>
    <cfRule type="cellIs" priority="48" dxfId="3" operator="equal" stopIfTrue="1">
      <formula>""""""</formula>
    </cfRule>
  </conditionalFormatting>
  <conditionalFormatting sqref="BJ32:BJ34">
    <cfRule type="cellIs" priority="43" dxfId="3" operator="equal" stopIfTrue="1">
      <formula>""""""</formula>
    </cfRule>
    <cfRule type="cellIs" priority="44" dxfId="3" operator="between" stopIfTrue="1">
      <formula>""""""</formula>
      <formula>""""""</formula>
    </cfRule>
    <cfRule type="cellIs" priority="45" dxfId="3" operator="equal" stopIfTrue="1">
      <formula>""""""</formula>
    </cfRule>
  </conditionalFormatting>
  <conditionalFormatting sqref="BJ35">
    <cfRule type="cellIs" priority="40" dxfId="3" operator="equal" stopIfTrue="1">
      <formula>""""""</formula>
    </cfRule>
    <cfRule type="cellIs" priority="41" dxfId="3" operator="between" stopIfTrue="1">
      <formula>""""""</formula>
      <formula>""""""</formula>
    </cfRule>
    <cfRule type="cellIs" priority="42" dxfId="3" operator="equal" stopIfTrue="1">
      <formula>""""""</formula>
    </cfRule>
  </conditionalFormatting>
  <conditionalFormatting sqref="BD44 BD46 BD48:BD49 BF45">
    <cfRule type="cellIs" priority="37" dxfId="0" operator="equal" stopIfTrue="1">
      <formula>""""""</formula>
    </cfRule>
    <cfRule type="cellIs" priority="38" dxfId="0" operator="between" stopIfTrue="1">
      <formula>""""""</formula>
      <formula>""""""</formula>
    </cfRule>
    <cfRule type="cellIs" priority="39" dxfId="0" operator="equal" stopIfTrue="1">
      <formula>""""""</formula>
    </cfRule>
  </conditionalFormatting>
  <conditionalFormatting sqref="BJ44 BJ46 BJ48:BJ49 BL45">
    <cfRule type="cellIs" priority="34" dxfId="0" operator="equal" stopIfTrue="1">
      <formula>""""""</formula>
    </cfRule>
    <cfRule type="cellIs" priority="35" dxfId="0" operator="between" stopIfTrue="1">
      <formula>""""""</formula>
      <formula>""""""</formula>
    </cfRule>
    <cfRule type="cellIs" priority="36" dxfId="0" operator="equal" stopIfTrue="1">
      <formula>""""""</formula>
    </cfRule>
  </conditionalFormatting>
  <conditionalFormatting sqref="R46 R48:R49">
    <cfRule type="cellIs" priority="31" dxfId="0" operator="equal" stopIfTrue="1">
      <formula>""""""</formula>
    </cfRule>
    <cfRule type="cellIs" priority="32" dxfId="0" operator="between" stopIfTrue="1">
      <formula>""""""</formula>
      <formula>""""""</formula>
    </cfRule>
    <cfRule type="cellIs" priority="33" dxfId="0" operator="equal" stopIfTrue="1">
      <formula>""""""</formula>
    </cfRule>
  </conditionalFormatting>
  <conditionalFormatting sqref="X44">
    <cfRule type="cellIs" priority="28" dxfId="0" operator="equal" stopIfTrue="1">
      <formula>""""""</formula>
    </cfRule>
    <cfRule type="cellIs" priority="29" dxfId="0" operator="between" stopIfTrue="1">
      <formula>""""""</formula>
      <formula>""""""</formula>
    </cfRule>
    <cfRule type="cellIs" priority="30" dxfId="0" operator="equal" stopIfTrue="1">
      <formula>""""""</formula>
    </cfRule>
  </conditionalFormatting>
  <conditionalFormatting sqref="X46 X48:X49">
    <cfRule type="cellIs" priority="25" dxfId="0" operator="equal" stopIfTrue="1">
      <formula>""""""</formula>
    </cfRule>
    <cfRule type="cellIs" priority="26" dxfId="0" operator="between" stopIfTrue="1">
      <formula>""""""</formula>
      <formula>""""""</formula>
    </cfRule>
    <cfRule type="cellIs" priority="27" dxfId="0" operator="equal" stopIfTrue="1">
      <formula>""""""</formula>
    </cfRule>
  </conditionalFormatting>
  <conditionalFormatting sqref="AD44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AD46 AD48:AD49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AJ44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AJ46 AJ48:AJ49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dataValidations count="3">
    <dataValidation type="list" allowBlank="1" showInputMessage="1" showErrorMessage="1" sqref="L19:M19 BK23:BK27 AS19 AS23:AS27 AY19 AY23:AY27 BE19 BE23:BE27 BK19 L23:M27">
      <formula1>"0,1"</formula1>
    </dataValidation>
    <dataValidation type="whole" allowBlank="1" showErrorMessage="1" errorTitle="Ошибка" error="Допускается ввод только неотрицательных целых чисел!" sqref="BJ15:BJ21 BD23:BD27 BD15:BD21 BD32:BD35 AR15:AR21 AR23:AR27 BJ29:BJ30 AR29:AR30 AX29:AX30 AR32:AR35 AX15:AX21 AX23:AX27 BD29:BD30 BJ23:BJ27 BJ32:BJ35 AX32:AX3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BK32:BK35 BE32:BE35 AY32:AY35 AS32:AS35 L29:M30 L20:M21 BK29:BK30 BE29:BE30 AY29:AY30 AS29:AS30 L15:M18 BK20:BK21 BE20:BE21 AY20:AY21 AS20:AS21 AS15:AS18 BK15:BK18 BE15:BE18 AY15:AY18 L32:M35">
      <formula1>0</formula1>
      <formula2>9.99999999999999E+23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7:BO72"/>
  <sheetViews>
    <sheetView showGridLines="0" zoomScalePageLayoutView="0" workbookViewId="0" topLeftCell="F22">
      <selection activeCell="H27" sqref="H27"/>
    </sheetView>
  </sheetViews>
  <sheetFormatPr defaultColWidth="9.140625" defaultRowHeight="11.25"/>
  <cols>
    <col min="1" max="5" width="9.140625" style="77" hidden="1" customWidth="1"/>
    <col min="6" max="6" width="3.8515625" style="77" customWidth="1"/>
    <col min="7" max="7" width="8.8515625" style="77" customWidth="1"/>
    <col min="8" max="8" width="69.421875" style="77" customWidth="1"/>
    <col min="9" max="9" width="1.421875" style="77" customWidth="1"/>
    <col min="10" max="10" width="1.7109375" style="77" hidden="1" customWidth="1"/>
    <col min="11" max="11" width="1.421875" style="77" customWidth="1"/>
    <col min="12" max="13" width="10.00390625" style="77" customWidth="1"/>
    <col min="14" max="14" width="10.7109375" style="77" customWidth="1"/>
    <col min="15" max="15" width="9.140625" style="77" customWidth="1"/>
    <col min="16" max="16" width="9.57421875" style="77" customWidth="1"/>
    <col min="17" max="17" width="1.421875" style="77" customWidth="1"/>
    <col min="18" max="19" width="10.7109375" style="77" hidden="1" customWidth="1"/>
    <col min="20" max="22" width="0" style="77" hidden="1" customWidth="1"/>
    <col min="23" max="23" width="1.421875" style="77" hidden="1" customWidth="1"/>
    <col min="24" max="25" width="10.140625" style="77" hidden="1" customWidth="1"/>
    <col min="26" max="28" width="0" style="77" hidden="1" customWidth="1"/>
    <col min="29" max="29" width="1.421875" style="77" hidden="1" customWidth="1"/>
    <col min="30" max="31" width="10.140625" style="77" hidden="1" customWidth="1"/>
    <col min="32" max="34" width="9.140625" style="77" hidden="1" customWidth="1"/>
    <col min="35" max="35" width="1.421875" style="77" hidden="1" customWidth="1"/>
    <col min="36" max="37" width="10.140625" style="77" hidden="1" customWidth="1"/>
    <col min="38" max="40" width="9.140625" style="77" hidden="1" customWidth="1"/>
    <col min="41" max="41" width="6.8515625" style="77" hidden="1" customWidth="1"/>
    <col min="42" max="43" width="9.140625" style="77" customWidth="1"/>
    <col min="44" max="67" width="9.140625" style="77" hidden="1" customWidth="1"/>
    <col min="68" max="16384" width="9.140625" style="7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spans="8:13" ht="11.25" customHeight="1">
      <c r="H7" s="71"/>
      <c r="I7" s="71"/>
      <c r="J7" s="427"/>
      <c r="K7" s="71"/>
      <c r="M7" s="94"/>
    </row>
    <row r="8" spans="7:19" ht="15" customHeight="1">
      <c r="G8" s="639" t="s">
        <v>130</v>
      </c>
      <c r="H8" s="639"/>
      <c r="I8" s="192"/>
      <c r="J8" s="89"/>
      <c r="K8" s="89"/>
      <c r="L8" s="89"/>
      <c r="M8" s="89"/>
      <c r="N8" s="85"/>
      <c r="O8" s="85"/>
      <c r="P8" s="85"/>
      <c r="Q8" s="85"/>
      <c r="R8" s="330"/>
      <c r="S8" s="331"/>
    </row>
    <row r="9" spans="7:19" ht="15" customHeight="1">
      <c r="G9" s="640" t="str">
        <f>IF(org&lt;&gt;"",org,"Организация не определена")</f>
        <v>ОАО "Новгородоблэлектро"</v>
      </c>
      <c r="H9" s="640"/>
      <c r="I9" s="355"/>
      <c r="J9" s="161"/>
      <c r="K9" s="161"/>
      <c r="L9" s="161"/>
      <c r="M9" s="161"/>
      <c r="N9" s="85"/>
      <c r="O9" s="85"/>
      <c r="P9" s="85"/>
      <c r="Q9" s="85"/>
      <c r="R9" s="330"/>
      <c r="S9" s="331"/>
    </row>
    <row r="10" spans="7:64" ht="24.75" customHeight="1">
      <c r="G10" s="633" t="s">
        <v>267</v>
      </c>
      <c r="H10" s="633" t="s">
        <v>269</v>
      </c>
      <c r="I10" s="152"/>
      <c r="J10" s="422"/>
      <c r="K10" s="152"/>
      <c r="L10" s="657" t="str">
        <f>IF(prd&lt;&gt;"",prd&amp;" год","Не определено")</f>
        <v>2014 год</v>
      </c>
      <c r="M10" s="614"/>
      <c r="N10" s="79"/>
      <c r="O10" s="144"/>
      <c r="R10" s="653" t="str">
        <f>IF(_prd3&lt;&gt;"",_prd3+1&amp;" год","Не определено")</f>
        <v>Не определено</v>
      </c>
      <c r="S10" s="654"/>
      <c r="X10" s="653" t="str">
        <f>IF(_prd3&lt;&gt;"",_prd3+2&amp;" год","Не определено")</f>
        <v>Не определено</v>
      </c>
      <c r="Y10" s="654"/>
      <c r="AD10" s="653" t="str">
        <f>IF(_prd3&lt;&gt;"",_prd3+3&amp;" год","Не определено")</f>
        <v>Не определено</v>
      </c>
      <c r="AE10" s="654"/>
      <c r="AJ10" s="653" t="str">
        <f>IF(_prd3&lt;&gt;"",_prd3+4&amp;" год","Не определено")</f>
        <v>Не определено</v>
      </c>
      <c r="AK10" s="654"/>
      <c r="AS10" s="653" t="str">
        <f>IF(_prd3&lt;&gt;"",_prd3+1&amp;" год","Не определено")</f>
        <v>Не определено</v>
      </c>
      <c r="AT10" s="654"/>
      <c r="AY10" s="653" t="str">
        <f>IF(_prd3&lt;&gt;"",_prd3+2&amp;" год","Не определено")</f>
        <v>Не определено</v>
      </c>
      <c r="AZ10" s="654"/>
      <c r="BE10" s="653" t="str">
        <f>IF(_prd3&lt;&gt;"",_prd3+3&amp;" год","Не определено")</f>
        <v>Не определено</v>
      </c>
      <c r="BF10" s="654"/>
      <c r="BK10" s="653" t="str">
        <f>IF(_prd3&lt;&gt;"",_prd3+4&amp;" год","Не определено")</f>
        <v>Не определено</v>
      </c>
      <c r="BL10" s="654"/>
    </row>
    <row r="11" spans="7:64" ht="24.75" customHeight="1">
      <c r="G11" s="633"/>
      <c r="H11" s="633"/>
      <c r="I11" s="152"/>
      <c r="J11" s="425"/>
      <c r="K11" s="152"/>
      <c r="L11" s="453" t="s">
        <v>153</v>
      </c>
      <c r="M11" s="453" t="s">
        <v>160</v>
      </c>
      <c r="N11" s="641"/>
      <c r="O11" s="641"/>
      <c r="P11" s="641"/>
      <c r="Q11" s="172"/>
      <c r="R11" s="332" t="s">
        <v>153</v>
      </c>
      <c r="S11" s="332" t="s">
        <v>160</v>
      </c>
      <c r="T11" s="642"/>
      <c r="U11" s="642"/>
      <c r="V11" s="642"/>
      <c r="W11" s="171"/>
      <c r="X11" s="332" t="s">
        <v>153</v>
      </c>
      <c r="Y11" s="332" t="s">
        <v>160</v>
      </c>
      <c r="AD11" s="332" t="s">
        <v>153</v>
      </c>
      <c r="AE11" s="332" t="s">
        <v>160</v>
      </c>
      <c r="AJ11" s="332" t="s">
        <v>153</v>
      </c>
      <c r="AK11" s="332" t="s">
        <v>160</v>
      </c>
      <c r="AR11" s="172"/>
      <c r="AS11" s="159" t="s">
        <v>153</v>
      </c>
      <c r="AT11" s="159" t="s">
        <v>160</v>
      </c>
      <c r="AU11" s="642"/>
      <c r="AV11" s="642"/>
      <c r="AW11" s="642"/>
      <c r="AX11" s="171"/>
      <c r="AY11" s="159" t="s">
        <v>153</v>
      </c>
      <c r="AZ11" s="159" t="s">
        <v>160</v>
      </c>
      <c r="BE11" s="159" t="s">
        <v>153</v>
      </c>
      <c r="BF11" s="159" t="s">
        <v>160</v>
      </c>
      <c r="BK11" s="159" t="s">
        <v>153</v>
      </c>
      <c r="BL11" s="159" t="s">
        <v>160</v>
      </c>
    </row>
    <row r="12" spans="7:64" ht="11.25">
      <c r="G12" s="502" t="s">
        <v>84</v>
      </c>
      <c r="H12" s="502" t="s">
        <v>80</v>
      </c>
      <c r="I12" s="319"/>
      <c r="J12" s="431"/>
      <c r="K12" s="153"/>
      <c r="L12" s="502" t="s">
        <v>81</v>
      </c>
      <c r="M12" s="502" t="s">
        <v>124</v>
      </c>
      <c r="N12" s="84"/>
      <c r="O12" s="144"/>
      <c r="R12" s="333" t="s">
        <v>123</v>
      </c>
      <c r="S12" s="333" t="s">
        <v>122</v>
      </c>
      <c r="X12" s="333" t="s">
        <v>121</v>
      </c>
      <c r="Y12" s="333" t="s">
        <v>120</v>
      </c>
      <c r="AD12" s="333" t="s">
        <v>75</v>
      </c>
      <c r="AE12" s="333" t="s">
        <v>76</v>
      </c>
      <c r="AJ12" s="333" t="s">
        <v>77</v>
      </c>
      <c r="AK12" s="333" t="s">
        <v>78</v>
      </c>
      <c r="AS12" s="160" t="s">
        <v>123</v>
      </c>
      <c r="AT12" s="160" t="s">
        <v>122</v>
      </c>
      <c r="AY12" s="160" t="s">
        <v>121</v>
      </c>
      <c r="AZ12" s="160" t="s">
        <v>120</v>
      </c>
      <c r="BE12" s="160" t="s">
        <v>75</v>
      </c>
      <c r="BF12" s="160" t="s">
        <v>76</v>
      </c>
      <c r="BK12" s="160" t="s">
        <v>77</v>
      </c>
      <c r="BL12" s="160" t="s">
        <v>78</v>
      </c>
    </row>
    <row r="13" spans="7:64" ht="57">
      <c r="G13" s="492" t="s">
        <v>84</v>
      </c>
      <c r="H13" s="493" t="s">
        <v>284</v>
      </c>
      <c r="I13" s="154"/>
      <c r="J13" s="270"/>
      <c r="K13" s="154"/>
      <c r="L13" s="458"/>
      <c r="M13" s="458"/>
      <c r="N13" s="287"/>
      <c r="O13" s="285"/>
      <c r="P13" s="267"/>
      <c r="Q13" s="267"/>
      <c r="R13" s="286"/>
      <c r="S13" s="286"/>
      <c r="T13" s="267"/>
      <c r="U13" s="267"/>
      <c r="V13" s="267"/>
      <c r="W13" s="267"/>
      <c r="X13" s="286"/>
      <c r="Y13" s="286"/>
      <c r="Z13" s="267"/>
      <c r="AA13" s="267"/>
      <c r="AB13" s="267"/>
      <c r="AC13" s="267"/>
      <c r="AD13" s="286"/>
      <c r="AE13" s="286"/>
      <c r="AF13" s="267"/>
      <c r="AG13" s="267"/>
      <c r="AH13" s="267"/>
      <c r="AI13" s="267"/>
      <c r="AJ13" s="286"/>
      <c r="AK13" s="286"/>
      <c r="AL13" s="267"/>
      <c r="AM13" s="267"/>
      <c r="AN13" s="267"/>
      <c r="AO13" s="267"/>
      <c r="AP13" s="267"/>
      <c r="AQ13" s="267"/>
      <c r="AR13" s="267"/>
      <c r="AS13" s="286"/>
      <c r="AT13" s="286"/>
      <c r="AU13" s="267"/>
      <c r="AV13" s="267"/>
      <c r="AW13" s="267"/>
      <c r="AX13" s="267"/>
      <c r="AY13" s="286"/>
      <c r="AZ13" s="286"/>
      <c r="BA13" s="267"/>
      <c r="BB13" s="267"/>
      <c r="BC13" s="267"/>
      <c r="BD13" s="267"/>
      <c r="BE13" s="286"/>
      <c r="BF13" s="286"/>
      <c r="BG13" s="267"/>
      <c r="BH13" s="267"/>
      <c r="BI13" s="267"/>
      <c r="BJ13" s="267"/>
      <c r="BK13" s="286"/>
      <c r="BL13" s="286"/>
    </row>
    <row r="14" spans="7:64" ht="22.5">
      <c r="G14" s="492" t="s">
        <v>141</v>
      </c>
      <c r="H14" s="473" t="s">
        <v>285</v>
      </c>
      <c r="I14" s="155"/>
      <c r="J14" s="270"/>
      <c r="K14" s="418"/>
      <c r="L14" s="456">
        <v>29</v>
      </c>
      <c r="M14" s="456">
        <v>29</v>
      </c>
      <c r="N14" s="287"/>
      <c r="O14" s="285"/>
      <c r="P14" s="267"/>
      <c r="Q14" s="267"/>
      <c r="R14" s="289">
        <f>S14</f>
        <v>28.565</v>
      </c>
      <c r="S14" s="272">
        <f>IF('ф.6.4 План_Качество'!$L$10="да",M14*(1-wrk_f24_k),M14)</f>
        <v>28.565</v>
      </c>
      <c r="T14" s="267"/>
      <c r="U14" s="267"/>
      <c r="V14" s="267"/>
      <c r="W14" s="267"/>
      <c r="X14" s="289">
        <f>Y14</f>
        <v>28.993475</v>
      </c>
      <c r="Y14" s="272">
        <f>IF('ф.6.4 План_Качество'!$L$10="да",S14*(1+wrk_f24_k),S14)</f>
        <v>28.993475</v>
      </c>
      <c r="Z14" s="267"/>
      <c r="AA14" s="267"/>
      <c r="AB14" s="267"/>
      <c r="AC14" s="267"/>
      <c r="AD14" s="289">
        <f>AE14</f>
        <v>29.428377124999997</v>
      </c>
      <c r="AE14" s="272">
        <f>IF('ф.6.4 План_Качество'!$L$10="да",Y14*(1+wrk_f24_k),Y14)</f>
        <v>29.428377124999997</v>
      </c>
      <c r="AF14" s="267"/>
      <c r="AG14" s="267"/>
      <c r="AH14" s="267"/>
      <c r="AI14" s="267"/>
      <c r="AJ14" s="289">
        <f>AK14</f>
        <v>29.869802781874995</v>
      </c>
      <c r="AK14" s="272">
        <f>IF('ф.6.4 План_Качество'!$L$10="да",AE14*(1+wrk_f24_k),AE14)</f>
        <v>29.869802781874995</v>
      </c>
      <c r="AL14" s="267"/>
      <c r="AM14" s="267"/>
      <c r="AN14" s="267"/>
      <c r="AO14" s="267"/>
      <c r="AP14" s="267"/>
      <c r="AQ14" s="267"/>
      <c r="AR14" s="267"/>
      <c r="AS14" s="289">
        <f>AT14</f>
        <v>0</v>
      </c>
      <c r="AT14" s="288"/>
      <c r="AU14" s="267"/>
      <c r="AV14" s="267"/>
      <c r="AW14" s="267"/>
      <c r="AX14" s="267"/>
      <c r="AY14" s="289">
        <f>AZ14</f>
        <v>0</v>
      </c>
      <c r="AZ14" s="288"/>
      <c r="BA14" s="267"/>
      <c r="BB14" s="267"/>
      <c r="BC14" s="267"/>
      <c r="BD14" s="267"/>
      <c r="BE14" s="289">
        <f>BF14</f>
        <v>0</v>
      </c>
      <c r="BF14" s="288"/>
      <c r="BG14" s="267"/>
      <c r="BH14" s="267"/>
      <c r="BI14" s="267"/>
      <c r="BJ14" s="267"/>
      <c r="BK14" s="289">
        <f>BL14</f>
        <v>0</v>
      </c>
      <c r="BL14" s="288"/>
    </row>
    <row r="15" spans="7:64" ht="33.75">
      <c r="G15" s="492" t="s">
        <v>140</v>
      </c>
      <c r="H15" s="473" t="s">
        <v>286</v>
      </c>
      <c r="I15" s="155"/>
      <c r="J15" s="270"/>
      <c r="K15" s="418"/>
      <c r="L15" s="456">
        <v>365</v>
      </c>
      <c r="M15" s="456">
        <v>180</v>
      </c>
      <c r="N15" s="287"/>
      <c r="O15" s="271"/>
      <c r="P15" s="267"/>
      <c r="Q15" s="267"/>
      <c r="R15" s="289">
        <f>S15</f>
        <v>177.3</v>
      </c>
      <c r="S15" s="272">
        <f>IF('ф.6.4 План_Качество'!$L$10="да",M15*(1-wrk_f24_k),M15)</f>
        <v>177.3</v>
      </c>
      <c r="T15" s="267"/>
      <c r="U15" s="267"/>
      <c r="V15" s="267"/>
      <c r="W15" s="267"/>
      <c r="X15" s="289">
        <f>Y15</f>
        <v>179.9595</v>
      </c>
      <c r="Y15" s="272">
        <f>IF('ф.6.4 План_Качество'!$L$10="да",S15*(1+wrk_f24_k),S15)</f>
        <v>179.9595</v>
      </c>
      <c r="Z15" s="267"/>
      <c r="AA15" s="267"/>
      <c r="AB15" s="267"/>
      <c r="AC15" s="267"/>
      <c r="AD15" s="289">
        <f>AE15</f>
        <v>182.65889249999998</v>
      </c>
      <c r="AE15" s="272">
        <f>IF('ф.6.4 План_Качество'!$L$10="да",Y15*(1+wrk_f24_k),Y15)</f>
        <v>182.65889249999998</v>
      </c>
      <c r="AF15" s="267"/>
      <c r="AG15" s="267"/>
      <c r="AH15" s="267"/>
      <c r="AI15" s="267"/>
      <c r="AJ15" s="289">
        <f>AK15</f>
        <v>185.39877588749997</v>
      </c>
      <c r="AK15" s="272">
        <f>IF('ф.6.4 План_Качество'!$L$10="да",AE15*(1+wrk_f24_k),AE15)</f>
        <v>185.39877588749997</v>
      </c>
      <c r="AL15" s="267"/>
      <c r="AM15" s="267"/>
      <c r="AN15" s="267"/>
      <c r="AO15" s="267"/>
      <c r="AP15" s="267"/>
      <c r="AQ15" s="267"/>
      <c r="AR15" s="267"/>
      <c r="AS15" s="289">
        <f>AT15</f>
        <v>0</v>
      </c>
      <c r="AT15" s="288"/>
      <c r="AU15" s="267"/>
      <c r="AV15" s="267"/>
      <c r="AW15" s="267"/>
      <c r="AX15" s="267"/>
      <c r="AY15" s="289">
        <f>AZ15</f>
        <v>0</v>
      </c>
      <c r="AZ15" s="288"/>
      <c r="BA15" s="267"/>
      <c r="BB15" s="267"/>
      <c r="BC15" s="267"/>
      <c r="BD15" s="267"/>
      <c r="BE15" s="289">
        <f>BF15</f>
        <v>0</v>
      </c>
      <c r="BF15" s="288"/>
      <c r="BG15" s="267"/>
      <c r="BH15" s="267"/>
      <c r="BI15" s="267"/>
      <c r="BJ15" s="267"/>
      <c r="BK15" s="289">
        <f>BL15</f>
        <v>0</v>
      </c>
      <c r="BL15" s="288"/>
    </row>
    <row r="16" spans="7:64" s="78" customFormat="1" ht="22.5">
      <c r="G16" s="494" t="s">
        <v>80</v>
      </c>
      <c r="H16" s="495" t="s">
        <v>287</v>
      </c>
      <c r="I16" s="156"/>
      <c r="J16" s="270"/>
      <c r="K16" s="419"/>
      <c r="L16" s="458"/>
      <c r="M16" s="458"/>
      <c r="N16" s="287"/>
      <c r="O16" s="271"/>
      <c r="P16" s="268"/>
      <c r="Q16" s="268"/>
      <c r="R16" s="286"/>
      <c r="S16" s="286"/>
      <c r="T16" s="268"/>
      <c r="U16" s="268"/>
      <c r="V16" s="268"/>
      <c r="W16" s="268"/>
      <c r="X16" s="286"/>
      <c r="Y16" s="286"/>
      <c r="Z16" s="268"/>
      <c r="AA16" s="268"/>
      <c r="AB16" s="268"/>
      <c r="AC16" s="268"/>
      <c r="AD16" s="286"/>
      <c r="AE16" s="286"/>
      <c r="AF16" s="268"/>
      <c r="AG16" s="268"/>
      <c r="AH16" s="268"/>
      <c r="AI16" s="268"/>
      <c r="AJ16" s="286"/>
      <c r="AK16" s="286"/>
      <c r="AL16" s="268"/>
      <c r="AM16" s="268"/>
      <c r="AN16" s="268"/>
      <c r="AO16" s="268"/>
      <c r="AP16" s="268"/>
      <c r="AQ16" s="268"/>
      <c r="AR16" s="268"/>
      <c r="AS16" s="286"/>
      <c r="AT16" s="286"/>
      <c r="AU16" s="268"/>
      <c r="AV16" s="268"/>
      <c r="AW16" s="268"/>
      <c r="AX16" s="268"/>
      <c r="AY16" s="286"/>
      <c r="AZ16" s="286"/>
      <c r="BA16" s="268"/>
      <c r="BB16" s="268"/>
      <c r="BC16" s="268"/>
      <c r="BD16" s="268"/>
      <c r="BE16" s="286"/>
      <c r="BF16" s="286"/>
      <c r="BG16" s="268"/>
      <c r="BH16" s="268"/>
      <c r="BI16" s="268"/>
      <c r="BJ16" s="268"/>
      <c r="BK16" s="286"/>
      <c r="BL16" s="286"/>
    </row>
    <row r="17" spans="7:64" ht="33.75">
      <c r="G17" s="494" t="s">
        <v>114</v>
      </c>
      <c r="H17" s="473" t="s">
        <v>166</v>
      </c>
      <c r="I17" s="155"/>
      <c r="J17" s="270"/>
      <c r="K17" s="418"/>
      <c r="L17" s="456">
        <v>1</v>
      </c>
      <c r="M17" s="456">
        <v>1</v>
      </c>
      <c r="N17" s="287"/>
      <c r="O17" s="270"/>
      <c r="P17" s="267"/>
      <c r="Q17" s="267"/>
      <c r="R17" s="289">
        <f>S17</f>
        <v>0.985</v>
      </c>
      <c r="S17" s="272">
        <f>IF('ф.6.4 План_Качество'!$L$10="да",M17*(1-wrk_f24_k),M17)</f>
        <v>0.985</v>
      </c>
      <c r="T17" s="267"/>
      <c r="U17" s="267"/>
      <c r="V17" s="267"/>
      <c r="W17" s="267"/>
      <c r="X17" s="289">
        <f>Y17</f>
        <v>0.9997749999999999</v>
      </c>
      <c r="Y17" s="272">
        <f>IF('ф.6.4 План_Качество'!$L$10="да",S17*(1+wrk_f24_k),S17)</f>
        <v>0.9997749999999999</v>
      </c>
      <c r="Z17" s="267"/>
      <c r="AA17" s="267"/>
      <c r="AB17" s="267"/>
      <c r="AC17" s="267"/>
      <c r="AD17" s="289">
        <f>AE17</f>
        <v>1.0147716249999998</v>
      </c>
      <c r="AE17" s="272">
        <f>IF('ф.6.4 План_Качество'!$L$10="да",Y17*(1+wrk_f24_k),Y17)</f>
        <v>1.0147716249999998</v>
      </c>
      <c r="AF17" s="267"/>
      <c r="AG17" s="267"/>
      <c r="AH17" s="267"/>
      <c r="AI17" s="267"/>
      <c r="AJ17" s="289">
        <f>AK17</f>
        <v>1.0299931993749998</v>
      </c>
      <c r="AK17" s="272">
        <f>IF('ф.6.4 План_Качество'!$L$10="да",AE17*(1+wrk_f24_k),AE17)</f>
        <v>1.0299931993749998</v>
      </c>
      <c r="AL17" s="267"/>
      <c r="AM17" s="267"/>
      <c r="AN17" s="267"/>
      <c r="AO17" s="267"/>
      <c r="AP17" s="267"/>
      <c r="AQ17" s="267"/>
      <c r="AR17" s="267"/>
      <c r="AS17" s="289">
        <f>AT17</f>
        <v>0</v>
      </c>
      <c r="AT17" s="288"/>
      <c r="AU17" s="267"/>
      <c r="AV17" s="267"/>
      <c r="AW17" s="267"/>
      <c r="AX17" s="267"/>
      <c r="AY17" s="289">
        <f>AZ17</f>
        <v>0</v>
      </c>
      <c r="AZ17" s="288"/>
      <c r="BA17" s="267"/>
      <c r="BB17" s="267"/>
      <c r="BC17" s="267"/>
      <c r="BD17" s="267"/>
      <c r="BE17" s="289">
        <f>BF17</f>
        <v>0</v>
      </c>
      <c r="BF17" s="288"/>
      <c r="BG17" s="267"/>
      <c r="BH17" s="267"/>
      <c r="BI17" s="267"/>
      <c r="BJ17" s="267"/>
      <c r="BK17" s="289">
        <f>BL17</f>
        <v>0</v>
      </c>
      <c r="BL17" s="288"/>
    </row>
    <row r="18" spans="7:64" ht="22.5">
      <c r="G18" s="494" t="s">
        <v>113</v>
      </c>
      <c r="H18" s="473" t="s">
        <v>195</v>
      </c>
      <c r="I18" s="155"/>
      <c r="J18" s="270"/>
      <c r="K18" s="418"/>
      <c r="L18" s="458"/>
      <c r="M18" s="458"/>
      <c r="N18" s="287"/>
      <c r="O18" s="270"/>
      <c r="P18" s="267"/>
      <c r="Q18" s="267"/>
      <c r="R18" s="286"/>
      <c r="S18" s="286"/>
      <c r="T18" s="267"/>
      <c r="U18" s="267"/>
      <c r="V18" s="267"/>
      <c r="W18" s="267"/>
      <c r="X18" s="286"/>
      <c r="Y18" s="286"/>
      <c r="Z18" s="267"/>
      <c r="AA18" s="267"/>
      <c r="AB18" s="267"/>
      <c r="AC18" s="267"/>
      <c r="AD18" s="286"/>
      <c r="AE18" s="286"/>
      <c r="AF18" s="267"/>
      <c r="AG18" s="267"/>
      <c r="AH18" s="267"/>
      <c r="AI18" s="267"/>
      <c r="AJ18" s="286"/>
      <c r="AK18" s="286"/>
      <c r="AL18" s="267"/>
      <c r="AM18" s="267"/>
      <c r="AN18" s="267"/>
      <c r="AO18" s="267"/>
      <c r="AP18" s="267"/>
      <c r="AQ18" s="267"/>
      <c r="AR18" s="267"/>
      <c r="AS18" s="286"/>
      <c r="AT18" s="286"/>
      <c r="AU18" s="267"/>
      <c r="AV18" s="267"/>
      <c r="AW18" s="267"/>
      <c r="AX18" s="267"/>
      <c r="AY18" s="286"/>
      <c r="AZ18" s="286"/>
      <c r="BA18" s="267"/>
      <c r="BB18" s="267"/>
      <c r="BC18" s="267"/>
      <c r="BD18" s="267"/>
      <c r="BE18" s="286"/>
      <c r="BF18" s="286"/>
      <c r="BG18" s="267"/>
      <c r="BH18" s="267"/>
      <c r="BI18" s="267"/>
      <c r="BJ18" s="267"/>
      <c r="BK18" s="286"/>
      <c r="BL18" s="286"/>
    </row>
    <row r="19" spans="7:64" ht="33.75">
      <c r="G19" s="494" t="s">
        <v>194</v>
      </c>
      <c r="H19" s="496" t="s">
        <v>288</v>
      </c>
      <c r="I19" s="157"/>
      <c r="J19" s="270"/>
      <c r="K19" s="420"/>
      <c r="L19" s="456">
        <v>30</v>
      </c>
      <c r="M19" s="456">
        <v>30</v>
      </c>
      <c r="N19" s="287"/>
      <c r="O19" s="270"/>
      <c r="P19" s="267"/>
      <c r="Q19" s="267"/>
      <c r="R19" s="289">
        <f>S19</f>
        <v>29.55</v>
      </c>
      <c r="S19" s="272">
        <f>IF('ф.6.4 План_Качество'!$L$10="да",M19*(1-wrk_f24_k),M19)</f>
        <v>29.55</v>
      </c>
      <c r="T19" s="267"/>
      <c r="U19" s="267"/>
      <c r="V19" s="267"/>
      <c r="W19" s="267"/>
      <c r="X19" s="289">
        <f>Y19</f>
        <v>29.993249999999996</v>
      </c>
      <c r="Y19" s="272">
        <f>IF('ф.6.4 План_Качество'!$L$10="да",S19*(1+wrk_f24_k),S19)</f>
        <v>29.993249999999996</v>
      </c>
      <c r="Z19" s="267"/>
      <c r="AA19" s="267"/>
      <c r="AB19" s="267"/>
      <c r="AC19" s="267"/>
      <c r="AD19" s="289">
        <f>AE19</f>
        <v>30.44314874999999</v>
      </c>
      <c r="AE19" s="272">
        <f>IF('ф.6.4 План_Качество'!$L$10="да",Y19*(1+wrk_f24_k),Y19)</f>
        <v>30.44314874999999</v>
      </c>
      <c r="AF19" s="267"/>
      <c r="AG19" s="267"/>
      <c r="AH19" s="267"/>
      <c r="AI19" s="267"/>
      <c r="AJ19" s="289">
        <f>AK19</f>
        <v>30.899795981249987</v>
      </c>
      <c r="AK19" s="272">
        <f>IF('ф.6.4 План_Качество'!$L$10="да",AE19*(1+wrk_f24_k),AE19)</f>
        <v>30.899795981249987</v>
      </c>
      <c r="AL19" s="267"/>
      <c r="AM19" s="267"/>
      <c r="AN19" s="267"/>
      <c r="AO19" s="267"/>
      <c r="AP19" s="267"/>
      <c r="AQ19" s="267"/>
      <c r="AR19" s="267"/>
      <c r="AS19" s="289">
        <f>AT19</f>
        <v>0</v>
      </c>
      <c r="AT19" s="288"/>
      <c r="AU19" s="267"/>
      <c r="AV19" s="267"/>
      <c r="AW19" s="267"/>
      <c r="AX19" s="267"/>
      <c r="AY19" s="289">
        <f>AZ19</f>
        <v>0</v>
      </c>
      <c r="AZ19" s="288"/>
      <c r="BA19" s="267"/>
      <c r="BB19" s="267"/>
      <c r="BC19" s="267"/>
      <c r="BD19" s="267"/>
      <c r="BE19" s="289">
        <f>BF19</f>
        <v>0</v>
      </c>
      <c r="BF19" s="288"/>
      <c r="BG19" s="267"/>
      <c r="BH19" s="267"/>
      <c r="BI19" s="267"/>
      <c r="BJ19" s="267"/>
      <c r="BK19" s="289">
        <f>BL19</f>
        <v>0</v>
      </c>
      <c r="BL19" s="288"/>
    </row>
    <row r="20" spans="7:64" ht="23.25" customHeight="1">
      <c r="G20" s="494" t="s">
        <v>289</v>
      </c>
      <c r="H20" s="496" t="s">
        <v>290</v>
      </c>
      <c r="I20" s="157"/>
      <c r="J20" s="270"/>
      <c r="K20" s="420"/>
      <c r="L20" s="456">
        <v>30</v>
      </c>
      <c r="M20" s="456">
        <v>30</v>
      </c>
      <c r="N20" s="287"/>
      <c r="O20" s="270"/>
      <c r="P20" s="267"/>
      <c r="Q20" s="267"/>
      <c r="R20" s="289">
        <f>S20</f>
        <v>29.55</v>
      </c>
      <c r="S20" s="272">
        <f>IF('ф.6.4 План_Качество'!$L$10="да",M20*(1-wrk_f24_k),M20)</f>
        <v>29.55</v>
      </c>
      <c r="T20" s="267"/>
      <c r="U20" s="267"/>
      <c r="V20" s="267"/>
      <c r="W20" s="267"/>
      <c r="X20" s="289">
        <f>Y20</f>
        <v>29.993249999999996</v>
      </c>
      <c r="Y20" s="272">
        <f>IF('ф.6.4 План_Качество'!$L$10="да",S20*(1+wrk_f24_k),S20)</f>
        <v>29.993249999999996</v>
      </c>
      <c r="Z20" s="267"/>
      <c r="AA20" s="267"/>
      <c r="AB20" s="267"/>
      <c r="AC20" s="267"/>
      <c r="AD20" s="289">
        <f>AE20</f>
        <v>30.44314874999999</v>
      </c>
      <c r="AE20" s="272">
        <f>IF('ф.6.4 План_Качество'!$L$10="да",Y20*(1+wrk_f24_k),Y20)</f>
        <v>30.44314874999999</v>
      </c>
      <c r="AF20" s="267"/>
      <c r="AG20" s="267"/>
      <c r="AH20" s="267"/>
      <c r="AI20" s="267"/>
      <c r="AJ20" s="289">
        <f>AK20</f>
        <v>30.899795981249987</v>
      </c>
      <c r="AK20" s="272">
        <f>IF('ф.6.4 План_Качество'!$L$10="да",AE20*(1+wrk_f24_k),AE20)</f>
        <v>30.899795981249987</v>
      </c>
      <c r="AL20" s="267"/>
      <c r="AM20" s="267"/>
      <c r="AN20" s="267"/>
      <c r="AO20" s="267"/>
      <c r="AP20" s="267"/>
      <c r="AQ20" s="267"/>
      <c r="AR20" s="267"/>
      <c r="AS20" s="289">
        <f>AT20</f>
        <v>0</v>
      </c>
      <c r="AT20" s="288"/>
      <c r="AU20" s="267"/>
      <c r="AV20" s="267"/>
      <c r="AW20" s="267"/>
      <c r="AX20" s="267"/>
      <c r="AY20" s="289">
        <f>AZ20</f>
        <v>0</v>
      </c>
      <c r="AZ20" s="288"/>
      <c r="BA20" s="267"/>
      <c r="BB20" s="267"/>
      <c r="BC20" s="267"/>
      <c r="BD20" s="267"/>
      <c r="BE20" s="289">
        <f>BF20</f>
        <v>0</v>
      </c>
      <c r="BF20" s="288"/>
      <c r="BG20" s="267"/>
      <c r="BH20" s="267"/>
      <c r="BI20" s="267"/>
      <c r="BJ20" s="267"/>
      <c r="BK20" s="289">
        <f>BL20</f>
        <v>0</v>
      </c>
      <c r="BL20" s="288"/>
    </row>
    <row r="21" spans="7:64" ht="33.75">
      <c r="G21" s="494" t="s">
        <v>112</v>
      </c>
      <c r="H21" s="497" t="s">
        <v>221</v>
      </c>
      <c r="I21" s="158"/>
      <c r="J21" s="270"/>
      <c r="K21" s="421"/>
      <c r="L21" s="456">
        <v>0</v>
      </c>
      <c r="M21" s="456">
        <v>0</v>
      </c>
      <c r="N21" s="287"/>
      <c r="O21" s="270"/>
      <c r="P21" s="267"/>
      <c r="Q21" s="267"/>
      <c r="R21" s="289">
        <f>S21</f>
        <v>0</v>
      </c>
      <c r="S21" s="272">
        <f>IF('ф.6.4 План_Качество'!$L$10="да",M21*(1-wrk_f24_k),M21)</f>
        <v>0</v>
      </c>
      <c r="T21" s="267"/>
      <c r="U21" s="267"/>
      <c r="V21" s="267"/>
      <c r="W21" s="267"/>
      <c r="X21" s="289">
        <f>Y21</f>
        <v>0</v>
      </c>
      <c r="Y21" s="272">
        <f>IF('ф.6.4 План_Качество'!$L$10="да",S21*(1+wrk_f24_k),S21)</f>
        <v>0</v>
      </c>
      <c r="Z21" s="267"/>
      <c r="AA21" s="267"/>
      <c r="AB21" s="267"/>
      <c r="AC21" s="267"/>
      <c r="AD21" s="289">
        <f>AE21</f>
        <v>0</v>
      </c>
      <c r="AE21" s="272">
        <f>IF('ф.6.4 План_Качество'!$L$10="да",Y21*(1+wrk_f24_k),Y21)</f>
        <v>0</v>
      </c>
      <c r="AF21" s="267"/>
      <c r="AG21" s="267"/>
      <c r="AH21" s="267"/>
      <c r="AI21" s="267"/>
      <c r="AJ21" s="289">
        <f>AK21</f>
        <v>0</v>
      </c>
      <c r="AK21" s="272">
        <f>IF('ф.6.4 План_Качество'!$L$10="да",AE21*(1+wrk_f24_k),AE21)</f>
        <v>0</v>
      </c>
      <c r="AL21" s="267"/>
      <c r="AM21" s="267"/>
      <c r="AN21" s="267"/>
      <c r="AO21" s="267"/>
      <c r="AP21" s="267"/>
      <c r="AQ21" s="267"/>
      <c r="AR21" s="267"/>
      <c r="AS21" s="289">
        <f>AT21</f>
        <v>0</v>
      </c>
      <c r="AT21" s="288"/>
      <c r="AU21" s="267"/>
      <c r="AV21" s="267"/>
      <c r="AW21" s="267"/>
      <c r="AX21" s="267"/>
      <c r="AY21" s="289">
        <f>AZ21</f>
        <v>0</v>
      </c>
      <c r="AZ21" s="288"/>
      <c r="BA21" s="267"/>
      <c r="BB21" s="267"/>
      <c r="BC21" s="267"/>
      <c r="BD21" s="267"/>
      <c r="BE21" s="289">
        <f>BF21</f>
        <v>0</v>
      </c>
      <c r="BF21" s="288"/>
      <c r="BG21" s="267"/>
      <c r="BH21" s="267"/>
      <c r="BI21" s="267"/>
      <c r="BJ21" s="267"/>
      <c r="BK21" s="289">
        <f>BL21</f>
        <v>0</v>
      </c>
      <c r="BL21" s="288"/>
    </row>
    <row r="22" spans="7:64" ht="39.75" customHeight="1">
      <c r="G22" s="498" t="s">
        <v>317</v>
      </c>
      <c r="H22" s="499" t="s">
        <v>318</v>
      </c>
      <c r="I22" s="158"/>
      <c r="J22" s="270"/>
      <c r="K22" s="421"/>
      <c r="L22" s="456">
        <v>62</v>
      </c>
      <c r="M22" s="456">
        <v>65</v>
      </c>
      <c r="N22" s="287"/>
      <c r="O22" s="270"/>
      <c r="P22" s="267"/>
      <c r="Q22" s="267"/>
      <c r="R22" s="289"/>
      <c r="S22" s="440"/>
      <c r="T22" s="267"/>
      <c r="U22" s="267"/>
      <c r="V22" s="267"/>
      <c r="W22" s="267"/>
      <c r="X22" s="289"/>
      <c r="Y22" s="440"/>
      <c r="Z22" s="267"/>
      <c r="AA22" s="267"/>
      <c r="AB22" s="267"/>
      <c r="AC22" s="267"/>
      <c r="AD22" s="289"/>
      <c r="AE22" s="440"/>
      <c r="AF22" s="267"/>
      <c r="AG22" s="267"/>
      <c r="AH22" s="267"/>
      <c r="AI22" s="267"/>
      <c r="AJ22" s="289"/>
      <c r="AK22" s="440"/>
      <c r="AL22" s="267"/>
      <c r="AM22" s="267"/>
      <c r="AN22" s="267"/>
      <c r="AO22" s="267"/>
      <c r="AP22" s="267"/>
      <c r="AQ22" s="267"/>
      <c r="AR22" s="267"/>
      <c r="AS22" s="289"/>
      <c r="AT22" s="288"/>
      <c r="AU22" s="267"/>
      <c r="AV22" s="267"/>
      <c r="AW22" s="267"/>
      <c r="AX22" s="267"/>
      <c r="AY22" s="289"/>
      <c r="AZ22" s="288"/>
      <c r="BA22" s="267"/>
      <c r="BB22" s="267"/>
      <c r="BC22" s="267"/>
      <c r="BD22" s="267"/>
      <c r="BE22" s="289"/>
      <c r="BF22" s="288"/>
      <c r="BG22" s="267"/>
      <c r="BH22" s="267"/>
      <c r="BI22" s="267"/>
      <c r="BJ22" s="267"/>
      <c r="BK22" s="289"/>
      <c r="BL22" s="288"/>
    </row>
    <row r="23" spans="7:64" ht="11.25" hidden="1">
      <c r="G23" s="494"/>
      <c r="H23" s="495"/>
      <c r="I23" s="156"/>
      <c r="J23" s="270"/>
      <c r="K23" s="419"/>
      <c r="L23" s="458"/>
      <c r="M23" s="458"/>
      <c r="N23" s="287"/>
      <c r="O23" s="270"/>
      <c r="P23" s="267"/>
      <c r="Q23" s="267"/>
      <c r="R23" s="286"/>
      <c r="S23" s="286"/>
      <c r="T23" s="267"/>
      <c r="U23" s="267"/>
      <c r="V23" s="267"/>
      <c r="W23" s="267"/>
      <c r="X23" s="286"/>
      <c r="Y23" s="286"/>
      <c r="Z23" s="267"/>
      <c r="AA23" s="267"/>
      <c r="AB23" s="267"/>
      <c r="AC23" s="267"/>
      <c r="AD23" s="286"/>
      <c r="AE23" s="286"/>
      <c r="AF23" s="267"/>
      <c r="AG23" s="267"/>
      <c r="AH23" s="267"/>
      <c r="AI23" s="267"/>
      <c r="AJ23" s="286"/>
      <c r="AK23" s="286"/>
      <c r="AL23" s="267"/>
      <c r="AM23" s="267"/>
      <c r="AN23" s="267"/>
      <c r="AO23" s="267"/>
      <c r="AP23" s="267"/>
      <c r="AQ23" s="267"/>
      <c r="AR23" s="267"/>
      <c r="AS23" s="286"/>
      <c r="AT23" s="286"/>
      <c r="AU23" s="267"/>
      <c r="AV23" s="267"/>
      <c r="AW23" s="267"/>
      <c r="AX23" s="267"/>
      <c r="AY23" s="286"/>
      <c r="AZ23" s="286"/>
      <c r="BA23" s="267"/>
      <c r="BB23" s="267"/>
      <c r="BC23" s="267"/>
      <c r="BD23" s="267"/>
      <c r="BE23" s="286"/>
      <c r="BF23" s="286"/>
      <c r="BG23" s="267"/>
      <c r="BH23" s="267"/>
      <c r="BI23" s="267"/>
      <c r="BJ23" s="267"/>
      <c r="BK23" s="286"/>
      <c r="BL23" s="286"/>
    </row>
    <row r="24" spans="7:64" ht="78" customHeight="1">
      <c r="G24" s="494" t="s">
        <v>136</v>
      </c>
      <c r="H24" s="497" t="s">
        <v>319</v>
      </c>
      <c r="I24" s="158"/>
      <c r="J24" s="270"/>
      <c r="K24" s="421"/>
      <c r="L24" s="456">
        <v>4</v>
      </c>
      <c r="M24" s="456">
        <v>0</v>
      </c>
      <c r="N24" s="287"/>
      <c r="O24" s="270"/>
      <c r="P24" s="267"/>
      <c r="Q24" s="267"/>
      <c r="R24" s="289">
        <f>S24</f>
        <v>0</v>
      </c>
      <c r="S24" s="272">
        <f>IF('ф.6.4 План_Качество'!$L$10="да",M24*(1-wrk_f24_k),M24)</f>
        <v>0</v>
      </c>
      <c r="T24" s="267"/>
      <c r="U24" s="267"/>
      <c r="V24" s="267"/>
      <c r="W24" s="267"/>
      <c r="X24" s="289">
        <f>Y24</f>
        <v>0</v>
      </c>
      <c r="Y24" s="272">
        <f>IF('ф.6.4 План_Качество'!$L$10="да",S24*(1+wrk_f24_k),S24)</f>
        <v>0</v>
      </c>
      <c r="Z24" s="267"/>
      <c r="AA24" s="267"/>
      <c r="AB24" s="267"/>
      <c r="AC24" s="267"/>
      <c r="AD24" s="289">
        <f>AE24</f>
        <v>0</v>
      </c>
      <c r="AE24" s="272">
        <f>IF('ф.6.4 План_Качество'!$L$10="да",Y24*(1+wrk_f24_k),Y24)</f>
        <v>0</v>
      </c>
      <c r="AF24" s="267"/>
      <c r="AG24" s="267"/>
      <c r="AH24" s="267"/>
      <c r="AI24" s="267"/>
      <c r="AJ24" s="289">
        <f>AK24</f>
        <v>0</v>
      </c>
      <c r="AK24" s="272">
        <f>IF('ф.6.4 План_Качество'!$L$10="да",AE24*(1+wrk_f24_k),AE24)</f>
        <v>0</v>
      </c>
      <c r="AL24" s="267"/>
      <c r="AM24" s="267"/>
      <c r="AN24" s="267"/>
      <c r="AO24" s="267"/>
      <c r="AP24" s="267"/>
      <c r="AQ24" s="267"/>
      <c r="AR24" s="267"/>
      <c r="AS24" s="289">
        <f>AT24</f>
        <v>0</v>
      </c>
      <c r="AT24" s="288"/>
      <c r="AU24" s="267"/>
      <c r="AV24" s="267"/>
      <c r="AW24" s="267"/>
      <c r="AX24" s="267"/>
      <c r="AY24" s="289">
        <f>AZ24</f>
        <v>0</v>
      </c>
      <c r="AZ24" s="288"/>
      <c r="BA24" s="267"/>
      <c r="BB24" s="267"/>
      <c r="BC24" s="267"/>
      <c r="BD24" s="267"/>
      <c r="BE24" s="289">
        <f>BF24</f>
        <v>0</v>
      </c>
      <c r="BF24" s="288"/>
      <c r="BG24" s="267"/>
      <c r="BH24" s="267"/>
      <c r="BI24" s="267"/>
      <c r="BJ24" s="267"/>
      <c r="BK24" s="289">
        <f>BL24</f>
        <v>0</v>
      </c>
      <c r="BL24" s="288"/>
    </row>
    <row r="25" spans="7:64" ht="29.25" customHeight="1">
      <c r="G25" s="498" t="s">
        <v>320</v>
      </c>
      <c r="H25" s="499" t="s">
        <v>321</v>
      </c>
      <c r="I25" s="158"/>
      <c r="J25" s="270"/>
      <c r="K25" s="421"/>
      <c r="L25" s="456">
        <v>2487</v>
      </c>
      <c r="M25" s="456">
        <v>2210</v>
      </c>
      <c r="N25" s="287"/>
      <c r="O25" s="270"/>
      <c r="P25" s="267"/>
      <c r="Q25" s="267"/>
      <c r="R25" s="289"/>
      <c r="S25" s="440"/>
      <c r="T25" s="267"/>
      <c r="U25" s="267"/>
      <c r="V25" s="267"/>
      <c r="W25" s="267"/>
      <c r="X25" s="289"/>
      <c r="Y25" s="440"/>
      <c r="Z25" s="267"/>
      <c r="AA25" s="267"/>
      <c r="AB25" s="267"/>
      <c r="AC25" s="267"/>
      <c r="AD25" s="289"/>
      <c r="AE25" s="440"/>
      <c r="AF25" s="267"/>
      <c r="AG25" s="267"/>
      <c r="AH25" s="267"/>
      <c r="AI25" s="267"/>
      <c r="AJ25" s="289"/>
      <c r="AK25" s="440"/>
      <c r="AL25" s="267"/>
      <c r="AM25" s="267"/>
      <c r="AN25" s="267"/>
      <c r="AO25" s="267"/>
      <c r="AP25" s="267"/>
      <c r="AQ25" s="267"/>
      <c r="AR25" s="267"/>
      <c r="AS25" s="289"/>
      <c r="AT25" s="288"/>
      <c r="AU25" s="267"/>
      <c r="AV25" s="267"/>
      <c r="AW25" s="267"/>
      <c r="AX25" s="267"/>
      <c r="AY25" s="289"/>
      <c r="AZ25" s="288"/>
      <c r="BA25" s="267"/>
      <c r="BB25" s="267"/>
      <c r="BC25" s="267"/>
      <c r="BD25" s="267"/>
      <c r="BE25" s="289"/>
      <c r="BF25" s="288"/>
      <c r="BG25" s="267"/>
      <c r="BH25" s="267"/>
      <c r="BI25" s="267"/>
      <c r="BJ25" s="267"/>
      <c r="BK25" s="289"/>
      <c r="BL25" s="288"/>
    </row>
    <row r="26" spans="7:64" ht="30" customHeight="1" hidden="1">
      <c r="G26" s="494"/>
      <c r="H26" s="495"/>
      <c r="I26" s="156"/>
      <c r="J26" s="270"/>
      <c r="K26" s="419"/>
      <c r="L26" s="458"/>
      <c r="M26" s="458"/>
      <c r="N26" s="287"/>
      <c r="O26" s="270"/>
      <c r="P26" s="267"/>
      <c r="Q26" s="267"/>
      <c r="R26" s="286"/>
      <c r="S26" s="286"/>
      <c r="T26" s="267"/>
      <c r="U26" s="267"/>
      <c r="V26" s="267"/>
      <c r="W26" s="267"/>
      <c r="X26" s="286"/>
      <c r="Y26" s="286"/>
      <c r="Z26" s="267"/>
      <c r="AA26" s="267"/>
      <c r="AB26" s="267"/>
      <c r="AC26" s="267"/>
      <c r="AD26" s="286"/>
      <c r="AE26" s="286"/>
      <c r="AF26" s="267"/>
      <c r="AG26" s="267"/>
      <c r="AH26" s="267"/>
      <c r="AI26" s="267"/>
      <c r="AJ26" s="286"/>
      <c r="AK26" s="286"/>
      <c r="AL26" s="267"/>
      <c r="AM26" s="267"/>
      <c r="AN26" s="267"/>
      <c r="AO26" s="267"/>
      <c r="AP26" s="267"/>
      <c r="AQ26" s="267"/>
      <c r="AR26" s="267"/>
      <c r="AS26" s="286"/>
      <c r="AT26" s="286"/>
      <c r="AU26" s="267"/>
      <c r="AV26" s="267"/>
      <c r="AW26" s="267"/>
      <c r="AX26" s="267"/>
      <c r="AY26" s="286"/>
      <c r="AZ26" s="286"/>
      <c r="BA26" s="267"/>
      <c r="BB26" s="267"/>
      <c r="BC26" s="267"/>
      <c r="BD26" s="267"/>
      <c r="BE26" s="286"/>
      <c r="BF26" s="286"/>
      <c r="BG26" s="267"/>
      <c r="BH26" s="267"/>
      <c r="BI26" s="267"/>
      <c r="BJ26" s="267"/>
      <c r="BK26" s="286"/>
      <c r="BL26" s="286"/>
    </row>
    <row r="27" spans="7:64" ht="45">
      <c r="G27" s="494" t="s">
        <v>135</v>
      </c>
      <c r="H27" s="497" t="s">
        <v>322</v>
      </c>
      <c r="I27" s="158"/>
      <c r="J27" s="270"/>
      <c r="K27" s="421"/>
      <c r="L27" s="456">
        <v>0</v>
      </c>
      <c r="M27" s="456">
        <v>0</v>
      </c>
      <c r="N27" s="287"/>
      <c r="O27" s="271"/>
      <c r="P27" s="267"/>
      <c r="Q27" s="267"/>
      <c r="R27" s="289">
        <f>S27</f>
        <v>0</v>
      </c>
      <c r="S27" s="272">
        <f>IF('ф.6.4 План_Качество'!$L$10="да",M27*(1-wrk_f24_k),M27)</f>
        <v>0</v>
      </c>
      <c r="T27" s="267"/>
      <c r="U27" s="267"/>
      <c r="V27" s="267"/>
      <c r="W27" s="267"/>
      <c r="X27" s="289">
        <f>Y27</f>
        <v>0</v>
      </c>
      <c r="Y27" s="272">
        <f>IF('ф.6.4 План_Качество'!$L$10="да",S27*(1+wrk_f24_k),S27)</f>
        <v>0</v>
      </c>
      <c r="Z27" s="267"/>
      <c r="AA27" s="267"/>
      <c r="AB27" s="267"/>
      <c r="AC27" s="267"/>
      <c r="AD27" s="289">
        <f>AE27</f>
        <v>0</v>
      </c>
      <c r="AE27" s="272">
        <f>IF('ф.6.4 План_Качество'!$L$10="да",Y27*(1+wrk_f24_k),Y27)</f>
        <v>0</v>
      </c>
      <c r="AF27" s="267"/>
      <c r="AG27" s="267"/>
      <c r="AH27" s="267"/>
      <c r="AI27" s="267"/>
      <c r="AJ27" s="289">
        <f>AK27</f>
        <v>0</v>
      </c>
      <c r="AK27" s="272">
        <f>IF('ф.6.4 План_Качество'!$L$10="да",AE27*(1+wrk_f24_k),AE27)</f>
        <v>0</v>
      </c>
      <c r="AL27" s="267"/>
      <c r="AM27" s="267"/>
      <c r="AN27" s="267"/>
      <c r="AO27" s="267"/>
      <c r="AP27" s="267"/>
      <c r="AQ27" s="267"/>
      <c r="AR27" s="267"/>
      <c r="AS27" s="289">
        <f>AT27</f>
        <v>0</v>
      </c>
      <c r="AT27" s="288"/>
      <c r="AU27" s="267"/>
      <c r="AV27" s="267"/>
      <c r="AW27" s="267"/>
      <c r="AX27" s="267"/>
      <c r="AY27" s="289">
        <f>AZ27</f>
        <v>0</v>
      </c>
      <c r="AZ27" s="288"/>
      <c r="BA27" s="267"/>
      <c r="BB27" s="267"/>
      <c r="BC27" s="267"/>
      <c r="BD27" s="267"/>
      <c r="BE27" s="289">
        <f>BF27</f>
        <v>0</v>
      </c>
      <c r="BF27" s="288"/>
      <c r="BG27" s="267"/>
      <c r="BH27" s="267"/>
      <c r="BI27" s="267"/>
      <c r="BJ27" s="267"/>
      <c r="BK27" s="289">
        <f>BL27</f>
        <v>0</v>
      </c>
      <c r="BL27" s="288"/>
    </row>
    <row r="28" spans="7:64" ht="22.5">
      <c r="G28" s="494" t="s">
        <v>123</v>
      </c>
      <c r="H28" s="495" t="s">
        <v>167</v>
      </c>
      <c r="I28" s="156"/>
      <c r="J28" s="270"/>
      <c r="K28" s="419"/>
      <c r="L28" s="458"/>
      <c r="M28" s="458"/>
      <c r="N28" s="287"/>
      <c r="O28" s="270"/>
      <c r="P28" s="267"/>
      <c r="Q28" s="267"/>
      <c r="R28" s="286"/>
      <c r="S28" s="286"/>
      <c r="T28" s="267"/>
      <c r="U28" s="267"/>
      <c r="V28" s="267"/>
      <c r="W28" s="267"/>
      <c r="X28" s="286"/>
      <c r="Y28" s="286"/>
      <c r="Z28" s="267"/>
      <c r="AA28" s="267"/>
      <c r="AB28" s="267"/>
      <c r="AC28" s="267"/>
      <c r="AD28" s="286"/>
      <c r="AE28" s="286"/>
      <c r="AF28" s="267"/>
      <c r="AG28" s="267"/>
      <c r="AH28" s="267"/>
      <c r="AI28" s="267"/>
      <c r="AJ28" s="286"/>
      <c r="AK28" s="286"/>
      <c r="AL28" s="267"/>
      <c r="AM28" s="267"/>
      <c r="AN28" s="267"/>
      <c r="AO28" s="267"/>
      <c r="AP28" s="267"/>
      <c r="AQ28" s="267"/>
      <c r="AR28" s="267"/>
      <c r="AS28" s="286"/>
      <c r="AT28" s="286"/>
      <c r="AU28" s="267"/>
      <c r="AV28" s="267"/>
      <c r="AW28" s="267"/>
      <c r="AX28" s="267"/>
      <c r="AY28" s="286"/>
      <c r="AZ28" s="286"/>
      <c r="BA28" s="267"/>
      <c r="BB28" s="267"/>
      <c r="BC28" s="267"/>
      <c r="BD28" s="267"/>
      <c r="BE28" s="286"/>
      <c r="BF28" s="286"/>
      <c r="BG28" s="267"/>
      <c r="BH28" s="267"/>
      <c r="BI28" s="267"/>
      <c r="BJ28" s="267"/>
      <c r="BK28" s="286"/>
      <c r="BL28" s="286"/>
    </row>
    <row r="29" spans="7:64" ht="22.5">
      <c r="G29" s="494" t="s">
        <v>134</v>
      </c>
      <c r="H29" s="500" t="s">
        <v>323</v>
      </c>
      <c r="I29" s="155"/>
      <c r="J29" s="270"/>
      <c r="K29" s="418"/>
      <c r="L29" s="456">
        <v>96</v>
      </c>
      <c r="M29" s="456">
        <v>209</v>
      </c>
      <c r="N29" s="287"/>
      <c r="O29" s="270"/>
      <c r="P29" s="267"/>
      <c r="Q29" s="267"/>
      <c r="R29" s="289">
        <f>S29</f>
        <v>205.865</v>
      </c>
      <c r="S29" s="272">
        <f>IF('ф.6.4 План_Качество'!$L$10="да",M29*(1-wrk_f24_k),M29)</f>
        <v>205.865</v>
      </c>
      <c r="T29" s="267"/>
      <c r="U29" s="267"/>
      <c r="V29" s="267"/>
      <c r="W29" s="267"/>
      <c r="X29" s="289">
        <f>Y29</f>
        <v>208.95297499999998</v>
      </c>
      <c r="Y29" s="272">
        <f>IF('ф.6.4 План_Качество'!$L$10="да",S29*(1+wrk_f24_k),S29)</f>
        <v>208.95297499999998</v>
      </c>
      <c r="Z29" s="267"/>
      <c r="AA29" s="267"/>
      <c r="AB29" s="267"/>
      <c r="AC29" s="267"/>
      <c r="AD29" s="289">
        <f>AE29</f>
        <v>212.08726962499995</v>
      </c>
      <c r="AE29" s="272">
        <f>IF('ф.6.4 План_Качество'!$L$10="да",Y29*(1+wrk_f24_k),Y29)</f>
        <v>212.08726962499995</v>
      </c>
      <c r="AF29" s="267"/>
      <c r="AG29" s="267"/>
      <c r="AH29" s="267"/>
      <c r="AI29" s="267"/>
      <c r="AJ29" s="289">
        <f>AK29</f>
        <v>215.26857866937493</v>
      </c>
      <c r="AK29" s="272">
        <f>IF('ф.6.4 План_Качество'!$L$10="да",AE29*(1+wrk_f24_k),AE29)</f>
        <v>215.26857866937493</v>
      </c>
      <c r="AL29" s="267"/>
      <c r="AM29" s="267"/>
      <c r="AN29" s="267"/>
      <c r="AO29" s="267"/>
      <c r="AP29" s="267"/>
      <c r="AQ29" s="267"/>
      <c r="AR29" s="267"/>
      <c r="AS29" s="289">
        <f>AT29</f>
        <v>0</v>
      </c>
      <c r="AT29" s="288"/>
      <c r="AU29" s="267"/>
      <c r="AV29" s="267"/>
      <c r="AW29" s="267"/>
      <c r="AX29" s="267"/>
      <c r="AY29" s="289">
        <f>AZ29</f>
        <v>0</v>
      </c>
      <c r="AZ29" s="288"/>
      <c r="BA29" s="267"/>
      <c r="BB29" s="267"/>
      <c r="BC29" s="267"/>
      <c r="BD29" s="267"/>
      <c r="BE29" s="289">
        <f>BF29</f>
        <v>0</v>
      </c>
      <c r="BF29" s="288"/>
      <c r="BG29" s="267"/>
      <c r="BH29" s="267"/>
      <c r="BI29" s="267"/>
      <c r="BJ29" s="267"/>
      <c r="BK29" s="289">
        <f>BL29</f>
        <v>0</v>
      </c>
      <c r="BL29" s="288"/>
    </row>
    <row r="30" spans="7:64" ht="27.75" customHeight="1">
      <c r="G30" s="498" t="s">
        <v>270</v>
      </c>
      <c r="H30" s="501" t="s">
        <v>324</v>
      </c>
      <c r="I30" s="155"/>
      <c r="J30" s="270"/>
      <c r="K30" s="418"/>
      <c r="L30" s="457">
        <f>'ф.6.1 ИндИнф (Ин)'!L35</f>
        <v>9967</v>
      </c>
      <c r="M30" s="457">
        <f>'ф.6.1 ИндИнф (Ин)'!M35</f>
        <v>6007</v>
      </c>
      <c r="N30" s="287"/>
      <c r="O30" s="270"/>
      <c r="P30" s="267"/>
      <c r="Q30" s="267"/>
      <c r="R30" s="289"/>
      <c r="S30" s="440"/>
      <c r="T30" s="267"/>
      <c r="U30" s="267"/>
      <c r="V30" s="267"/>
      <c r="W30" s="267"/>
      <c r="X30" s="289"/>
      <c r="Y30" s="440"/>
      <c r="Z30" s="267"/>
      <c r="AA30" s="267"/>
      <c r="AB30" s="267"/>
      <c r="AC30" s="267"/>
      <c r="AD30" s="289"/>
      <c r="AE30" s="440"/>
      <c r="AF30" s="267"/>
      <c r="AG30" s="267"/>
      <c r="AH30" s="267"/>
      <c r="AI30" s="267"/>
      <c r="AJ30" s="289"/>
      <c r="AK30" s="440"/>
      <c r="AL30" s="267"/>
      <c r="AM30" s="267"/>
      <c r="AN30" s="267"/>
      <c r="AO30" s="267"/>
      <c r="AP30" s="267"/>
      <c r="AQ30" s="267"/>
      <c r="AR30" s="267"/>
      <c r="AS30" s="289"/>
      <c r="AT30" s="288"/>
      <c r="AU30" s="267"/>
      <c r="AV30" s="267"/>
      <c r="AW30" s="267"/>
      <c r="AX30" s="267"/>
      <c r="AY30" s="289"/>
      <c r="AZ30" s="288"/>
      <c r="BA30" s="267"/>
      <c r="BB30" s="267"/>
      <c r="BC30" s="267"/>
      <c r="BD30" s="267"/>
      <c r="BE30" s="289"/>
      <c r="BF30" s="288"/>
      <c r="BG30" s="267"/>
      <c r="BH30" s="267"/>
      <c r="BI30" s="267"/>
      <c r="BJ30" s="267"/>
      <c r="BK30" s="289"/>
      <c r="BL30" s="288"/>
    </row>
    <row r="31" spans="7:64" ht="11.25" hidden="1">
      <c r="G31" s="494"/>
      <c r="H31" s="495"/>
      <c r="I31" s="156"/>
      <c r="J31" s="270"/>
      <c r="K31" s="419"/>
      <c r="L31" s="458"/>
      <c r="M31" s="458"/>
      <c r="N31" s="287"/>
      <c r="O31" s="271"/>
      <c r="P31" s="267"/>
      <c r="Q31" s="267"/>
      <c r="R31" s="286"/>
      <c r="S31" s="286"/>
      <c r="T31" s="267"/>
      <c r="U31" s="267"/>
      <c r="V31" s="267"/>
      <c r="W31" s="267"/>
      <c r="X31" s="286"/>
      <c r="Y31" s="286"/>
      <c r="Z31" s="267"/>
      <c r="AA31" s="267"/>
      <c r="AB31" s="267"/>
      <c r="AC31" s="267"/>
      <c r="AD31" s="286"/>
      <c r="AE31" s="286"/>
      <c r="AF31" s="267"/>
      <c r="AG31" s="267"/>
      <c r="AH31" s="267"/>
      <c r="AI31" s="267"/>
      <c r="AJ31" s="286"/>
      <c r="AK31" s="286"/>
      <c r="AL31" s="267"/>
      <c r="AM31" s="267"/>
      <c r="AN31" s="267"/>
      <c r="AO31" s="267"/>
      <c r="AP31" s="267"/>
      <c r="AQ31" s="267"/>
      <c r="AR31" s="267"/>
      <c r="AS31" s="286"/>
      <c r="AT31" s="286"/>
      <c r="AU31" s="267"/>
      <c r="AV31" s="267"/>
      <c r="AW31" s="267"/>
      <c r="AX31" s="267"/>
      <c r="AY31" s="286"/>
      <c r="AZ31" s="286"/>
      <c r="BA31" s="267"/>
      <c r="BB31" s="267"/>
      <c r="BC31" s="267"/>
      <c r="BD31" s="267"/>
      <c r="BE31" s="286"/>
      <c r="BF31" s="286"/>
      <c r="BG31" s="267"/>
      <c r="BH31" s="267"/>
      <c r="BI31" s="267"/>
      <c r="BJ31" s="267"/>
      <c r="BK31" s="286"/>
      <c r="BL31" s="286"/>
    </row>
    <row r="32" spans="7:64" ht="33.75">
      <c r="G32" s="494" t="s">
        <v>129</v>
      </c>
      <c r="H32" s="473" t="s">
        <v>168</v>
      </c>
      <c r="I32" s="155"/>
      <c r="J32" s="270"/>
      <c r="K32" s="418"/>
      <c r="L32" s="454">
        <v>1</v>
      </c>
      <c r="M32" s="454">
        <v>1</v>
      </c>
      <c r="N32" s="287"/>
      <c r="O32" s="271"/>
      <c r="P32" s="267"/>
      <c r="Q32" s="267"/>
      <c r="R32" s="289">
        <f>S32</f>
        <v>1</v>
      </c>
      <c r="S32" s="289">
        <f>M32</f>
        <v>1</v>
      </c>
      <c r="T32" s="267"/>
      <c r="U32" s="267"/>
      <c r="V32" s="267"/>
      <c r="W32" s="267"/>
      <c r="X32" s="289">
        <f>Y32</f>
        <v>1</v>
      </c>
      <c r="Y32" s="289">
        <f>S32</f>
        <v>1</v>
      </c>
      <c r="Z32" s="267"/>
      <c r="AA32" s="267"/>
      <c r="AB32" s="267"/>
      <c r="AC32" s="267"/>
      <c r="AD32" s="289">
        <f>AE32</f>
        <v>1</v>
      </c>
      <c r="AE32" s="289">
        <f>Y32</f>
        <v>1</v>
      </c>
      <c r="AF32" s="267"/>
      <c r="AG32" s="267"/>
      <c r="AH32" s="267"/>
      <c r="AI32" s="267"/>
      <c r="AJ32" s="289">
        <f>AK32</f>
        <v>1</v>
      </c>
      <c r="AK32" s="289">
        <f>AE32</f>
        <v>1</v>
      </c>
      <c r="AL32" s="267"/>
      <c r="AM32" s="267"/>
      <c r="AN32" s="267"/>
      <c r="AO32" s="267"/>
      <c r="AP32" s="267"/>
      <c r="AQ32" s="267"/>
      <c r="AR32" s="267"/>
      <c r="AS32" s="289">
        <f>AT32</f>
        <v>0</v>
      </c>
      <c r="AT32" s="288"/>
      <c r="AU32" s="267"/>
      <c r="AV32" s="267"/>
      <c r="AW32" s="267"/>
      <c r="AX32" s="267"/>
      <c r="AY32" s="289">
        <f>AZ32</f>
        <v>0</v>
      </c>
      <c r="AZ32" s="288"/>
      <c r="BA32" s="267"/>
      <c r="BB32" s="267"/>
      <c r="BC32" s="267"/>
      <c r="BD32" s="267"/>
      <c r="BE32" s="289">
        <f>BF32</f>
        <v>0</v>
      </c>
      <c r="BF32" s="288"/>
      <c r="BG32" s="267"/>
      <c r="BH32" s="267"/>
      <c r="BI32" s="267"/>
      <c r="BJ32" s="267"/>
      <c r="BK32" s="289">
        <f>BL32</f>
        <v>0</v>
      </c>
      <c r="BL32" s="288"/>
    </row>
    <row r="33" spans="7:64" ht="47.25" customHeight="1">
      <c r="G33" s="494" t="s">
        <v>128</v>
      </c>
      <c r="H33" s="497" t="s">
        <v>325</v>
      </c>
      <c r="I33" s="158"/>
      <c r="J33" s="270"/>
      <c r="K33" s="421"/>
      <c r="L33" s="456">
        <v>5</v>
      </c>
      <c r="M33" s="456">
        <v>60</v>
      </c>
      <c r="N33" s="287"/>
      <c r="O33" s="271"/>
      <c r="P33" s="267"/>
      <c r="Q33" s="267"/>
      <c r="R33" s="289">
        <f>S33</f>
        <v>59.1</v>
      </c>
      <c r="S33" s="272">
        <f>IF('ф.6.4 План_Качество'!$L$10="да",M33*(1-wrk_f24_k),M33)</f>
        <v>59.1</v>
      </c>
      <c r="T33" s="267"/>
      <c r="U33" s="267"/>
      <c r="V33" s="267"/>
      <c r="W33" s="267"/>
      <c r="X33" s="289">
        <f>Y33</f>
        <v>59.98649999999999</v>
      </c>
      <c r="Y33" s="272">
        <f>IF('ф.6.4 План_Качество'!$L$10="да",S33*(1+wrk_f24_k),S33)</f>
        <v>59.98649999999999</v>
      </c>
      <c r="Z33" s="267"/>
      <c r="AA33" s="267"/>
      <c r="AB33" s="267"/>
      <c r="AC33" s="267"/>
      <c r="AD33" s="289">
        <f>AE33</f>
        <v>60.88629749999998</v>
      </c>
      <c r="AE33" s="272">
        <f>IF('ф.6.4 План_Качество'!$L$10="да",Y33*(1+wrk_f24_k),Y33)</f>
        <v>60.88629749999998</v>
      </c>
      <c r="AF33" s="267"/>
      <c r="AG33" s="267"/>
      <c r="AH33" s="267"/>
      <c r="AI33" s="267"/>
      <c r="AJ33" s="289">
        <f>AK33</f>
        <v>61.799591962499974</v>
      </c>
      <c r="AK33" s="272">
        <f>IF('ф.6.4 План_Качество'!$L$10="да",AE33*(1+wrk_f24_k),AE33)</f>
        <v>61.799591962499974</v>
      </c>
      <c r="AL33" s="267"/>
      <c r="AM33" s="267"/>
      <c r="AN33" s="267"/>
      <c r="AO33" s="267"/>
      <c r="AP33" s="267"/>
      <c r="AQ33" s="267"/>
      <c r="AR33" s="267"/>
      <c r="AS33" s="289">
        <f>AT33</f>
        <v>0</v>
      </c>
      <c r="AT33" s="288"/>
      <c r="AU33" s="267"/>
      <c r="AV33" s="267"/>
      <c r="AW33" s="267"/>
      <c r="AX33" s="267"/>
      <c r="AY33" s="289">
        <f>AZ33</f>
        <v>0</v>
      </c>
      <c r="AZ33" s="288"/>
      <c r="BA33" s="267"/>
      <c r="BB33" s="267"/>
      <c r="BC33" s="267"/>
      <c r="BD33" s="267"/>
      <c r="BE33" s="289">
        <f>BF33</f>
        <v>0</v>
      </c>
      <c r="BF33" s="288"/>
      <c r="BG33" s="267"/>
      <c r="BH33" s="267"/>
      <c r="BI33" s="267"/>
      <c r="BJ33" s="267"/>
      <c r="BK33" s="289">
        <f>BL33</f>
        <v>0</v>
      </c>
      <c r="BL33" s="288"/>
    </row>
    <row r="34" spans="7:64" ht="7.5" customHeight="1" hidden="1">
      <c r="G34" s="494"/>
      <c r="H34" s="495"/>
      <c r="I34" s="156"/>
      <c r="J34" s="270"/>
      <c r="K34" s="419"/>
      <c r="L34" s="458"/>
      <c r="M34" s="458"/>
      <c r="N34" s="287"/>
      <c r="O34" s="271"/>
      <c r="P34" s="267"/>
      <c r="Q34" s="267"/>
      <c r="R34" s="286"/>
      <c r="S34" s="286"/>
      <c r="T34" s="267"/>
      <c r="U34" s="267"/>
      <c r="V34" s="267"/>
      <c r="W34" s="267"/>
      <c r="X34" s="286"/>
      <c r="Y34" s="286"/>
      <c r="Z34" s="267"/>
      <c r="AA34" s="267"/>
      <c r="AB34" s="267"/>
      <c r="AC34" s="267"/>
      <c r="AD34" s="286"/>
      <c r="AE34" s="286"/>
      <c r="AF34" s="267"/>
      <c r="AG34" s="267"/>
      <c r="AH34" s="267"/>
      <c r="AI34" s="267"/>
      <c r="AJ34" s="286"/>
      <c r="AK34" s="286"/>
      <c r="AL34" s="267"/>
      <c r="AM34" s="267"/>
      <c r="AN34" s="267"/>
      <c r="AO34" s="267"/>
      <c r="AP34" s="267"/>
      <c r="AQ34" s="267"/>
      <c r="AR34" s="267"/>
      <c r="AS34" s="286"/>
      <c r="AT34" s="286"/>
      <c r="AU34" s="267"/>
      <c r="AV34" s="267"/>
      <c r="AW34" s="267"/>
      <c r="AX34" s="267"/>
      <c r="AY34" s="286"/>
      <c r="AZ34" s="286"/>
      <c r="BA34" s="267"/>
      <c r="BB34" s="267"/>
      <c r="BC34" s="267"/>
      <c r="BD34" s="267"/>
      <c r="BE34" s="286"/>
      <c r="BF34" s="286"/>
      <c r="BG34" s="267"/>
      <c r="BH34" s="267"/>
      <c r="BI34" s="267"/>
      <c r="BJ34" s="267"/>
      <c r="BK34" s="286"/>
      <c r="BL34" s="286"/>
    </row>
    <row r="35" spans="7:64" ht="33.75">
      <c r="G35" s="494" t="s">
        <v>299</v>
      </c>
      <c r="H35" s="500" t="s">
        <v>326</v>
      </c>
      <c r="I35" s="155"/>
      <c r="J35" s="270"/>
      <c r="K35" s="418"/>
      <c r="L35" s="456">
        <v>0</v>
      </c>
      <c r="M35" s="456">
        <v>0</v>
      </c>
      <c r="N35" s="287"/>
      <c r="O35" s="271"/>
      <c r="P35" s="267"/>
      <c r="Q35" s="267"/>
      <c r="R35" s="289">
        <f>S35</f>
        <v>0</v>
      </c>
      <c r="S35" s="272">
        <f>IF('ф.6.4 План_Качество'!$L$10="да",M35*(1-wrk_f24_k),M35)</f>
        <v>0</v>
      </c>
      <c r="T35" s="267"/>
      <c r="U35" s="267"/>
      <c r="V35" s="267"/>
      <c r="W35" s="267"/>
      <c r="X35" s="289">
        <f>Y35</f>
        <v>0</v>
      </c>
      <c r="Y35" s="272">
        <f>IF('ф.6.4 План_Качество'!$L$10="да",S35*(1+wrk_f24_k),S35)</f>
        <v>0</v>
      </c>
      <c r="Z35" s="267"/>
      <c r="AA35" s="267"/>
      <c r="AB35" s="267"/>
      <c r="AC35" s="267"/>
      <c r="AD35" s="289">
        <f>AE35</f>
        <v>0</v>
      </c>
      <c r="AE35" s="272">
        <f>IF('ф.6.4 План_Качество'!$L$10="да",Y35*(1+wrk_f24_k),Y35)</f>
        <v>0</v>
      </c>
      <c r="AF35" s="267"/>
      <c r="AG35" s="267"/>
      <c r="AH35" s="267"/>
      <c r="AI35" s="267"/>
      <c r="AJ35" s="289">
        <f>AK35</f>
        <v>0</v>
      </c>
      <c r="AK35" s="272">
        <f>IF('ф.6.4 План_Качество'!$L$10="да",AE35*(1+wrk_f24_k),AE35)</f>
        <v>0</v>
      </c>
      <c r="AL35" s="267"/>
      <c r="AM35" s="267"/>
      <c r="AN35" s="267"/>
      <c r="AO35" s="267"/>
      <c r="AP35" s="267"/>
      <c r="AQ35" s="267"/>
      <c r="AR35" s="267"/>
      <c r="AS35" s="289">
        <f>AT35</f>
        <v>0</v>
      </c>
      <c r="AT35" s="288"/>
      <c r="AU35" s="267"/>
      <c r="AV35" s="267"/>
      <c r="AW35" s="267"/>
      <c r="AX35" s="267"/>
      <c r="AY35" s="289">
        <f>AZ35</f>
        <v>0</v>
      </c>
      <c r="AZ35" s="288"/>
      <c r="BA35" s="267"/>
      <c r="BB35" s="267"/>
      <c r="BC35" s="267"/>
      <c r="BD35" s="267"/>
      <c r="BE35" s="289">
        <f>BF35</f>
        <v>0</v>
      </c>
      <c r="BF35" s="288"/>
      <c r="BG35" s="267"/>
      <c r="BH35" s="267"/>
      <c r="BI35" s="267"/>
      <c r="BJ35" s="267"/>
      <c r="BK35" s="289">
        <f>BL35</f>
        <v>0</v>
      </c>
      <c r="BL35" s="288"/>
    </row>
    <row r="36" spans="7:64" ht="11.25">
      <c r="G36" s="76"/>
      <c r="H36" s="140"/>
      <c r="I36" s="140"/>
      <c r="J36" s="338"/>
      <c r="K36" s="140"/>
      <c r="L36" s="140"/>
      <c r="M36" s="140"/>
      <c r="N36" s="140"/>
      <c r="O36" s="139"/>
      <c r="P36" s="139"/>
      <c r="Q36" s="139"/>
      <c r="R36" s="330"/>
      <c r="S36" s="87"/>
      <c r="X36" s="330"/>
      <c r="Y36" s="87"/>
      <c r="AD36" s="330"/>
      <c r="AE36" s="87"/>
      <c r="AJ36" s="330"/>
      <c r="AK36" s="87"/>
      <c r="AR36" s="139"/>
      <c r="AS36" s="79"/>
      <c r="AT36" s="87"/>
      <c r="AY36" s="79"/>
      <c r="AZ36" s="87"/>
      <c r="BE36" s="79"/>
      <c r="BF36" s="87"/>
      <c r="BK36" s="79"/>
      <c r="BL36" s="87"/>
    </row>
    <row r="37" spans="7:64" ht="11.25">
      <c r="G37" s="76"/>
      <c r="H37" s="79"/>
      <c r="I37" s="79"/>
      <c r="J37" s="89"/>
      <c r="K37" s="79"/>
      <c r="L37" s="79"/>
      <c r="M37" s="79"/>
      <c r="N37" s="79"/>
      <c r="O37" s="79"/>
      <c r="P37" s="94"/>
      <c r="Q37" s="94"/>
      <c r="R37" s="330"/>
      <c r="S37" s="87"/>
      <c r="X37" s="330"/>
      <c r="Y37" s="87"/>
      <c r="AD37" s="330"/>
      <c r="AE37" s="87"/>
      <c r="AJ37" s="330"/>
      <c r="AK37" s="87"/>
      <c r="AR37" s="94"/>
      <c r="AS37" s="79"/>
      <c r="AT37" s="87"/>
      <c r="AY37" s="79"/>
      <c r="AZ37" s="87"/>
      <c r="BE37" s="79"/>
      <c r="BF37" s="87"/>
      <c r="BK37" s="79"/>
      <c r="BL37" s="87"/>
    </row>
    <row r="38" spans="7:67" ht="12" customHeight="1">
      <c r="G38" s="643" t="s">
        <v>130</v>
      </c>
      <c r="H38" s="644"/>
      <c r="I38" s="356"/>
      <c r="J38" s="645"/>
      <c r="K38" s="89"/>
      <c r="L38" s="646" t="str">
        <f>IF(prd&lt;&gt;"",prd&amp;" год","Не определено")</f>
        <v>2014 год</v>
      </c>
      <c r="M38" s="646"/>
      <c r="N38" s="646"/>
      <c r="O38" s="646"/>
      <c r="P38" s="646"/>
      <c r="Q38" s="91"/>
      <c r="R38" s="647" t="str">
        <f>IF(_prd3&lt;&gt;"",_prd3+1&amp;" год","Не определено")</f>
        <v>Не определено</v>
      </c>
      <c r="S38" s="648"/>
      <c r="T38" s="648"/>
      <c r="U38" s="648"/>
      <c r="V38" s="649"/>
      <c r="W38" s="177"/>
      <c r="X38" s="647" t="str">
        <f>IF(_prd3&lt;&gt;"",_prd3+2&amp;" год","Не определено")</f>
        <v>Не определено</v>
      </c>
      <c r="Y38" s="648"/>
      <c r="Z38" s="648"/>
      <c r="AA38" s="648"/>
      <c r="AB38" s="649"/>
      <c r="AD38" s="647" t="str">
        <f>IF(_prd3&lt;&gt;"",_prd3+3&amp;" год","Не определено")</f>
        <v>Не определено</v>
      </c>
      <c r="AE38" s="648"/>
      <c r="AF38" s="648"/>
      <c r="AG38" s="648"/>
      <c r="AH38" s="649"/>
      <c r="AJ38" s="647" t="str">
        <f>IF(_prd3&lt;&gt;"",_prd3+4&amp;" год","Не определено")</f>
        <v>Не определено</v>
      </c>
      <c r="AK38" s="648"/>
      <c r="AL38" s="648"/>
      <c r="AM38" s="648"/>
      <c r="AN38" s="649"/>
      <c r="AR38" s="91"/>
      <c r="AS38" s="647" t="str">
        <f>IF(_prd3&lt;&gt;"",_prd3+1&amp;" год","Не определено")</f>
        <v>Не определено</v>
      </c>
      <c r="AT38" s="648"/>
      <c r="AU38" s="648"/>
      <c r="AV38" s="648"/>
      <c r="AW38" s="649"/>
      <c r="AX38" s="177"/>
      <c r="AY38" s="647" t="str">
        <f>IF(_prd3&lt;&gt;"",_prd3+2&amp;" год","Не определено")</f>
        <v>Не определено</v>
      </c>
      <c r="AZ38" s="648"/>
      <c r="BA38" s="648"/>
      <c r="BB38" s="648"/>
      <c r="BC38" s="649"/>
      <c r="BE38" s="647" t="str">
        <f>IF(_prd3&lt;&gt;"",_prd3+3&amp;" год","Не определено")</f>
        <v>Не определено</v>
      </c>
      <c r="BF38" s="648"/>
      <c r="BG38" s="648"/>
      <c r="BH38" s="648"/>
      <c r="BI38" s="649"/>
      <c r="BK38" s="647" t="str">
        <f>IF(_prd3&lt;&gt;"",_prd3+4&amp;" год","Не определено")</f>
        <v>Не определено</v>
      </c>
      <c r="BL38" s="648"/>
      <c r="BM38" s="648"/>
      <c r="BN38" s="648"/>
      <c r="BO38" s="649"/>
    </row>
    <row r="39" spans="7:67" ht="12.75" customHeight="1">
      <c r="G39" s="655" t="str">
        <f>IF(org&lt;&gt;"",org,"Организация не определена")</f>
        <v>ОАО "Новгородоблэлектро"</v>
      </c>
      <c r="H39" s="656"/>
      <c r="I39" s="357"/>
      <c r="J39" s="645"/>
      <c r="K39" s="161"/>
      <c r="L39" s="646"/>
      <c r="M39" s="646"/>
      <c r="N39" s="646"/>
      <c r="O39" s="646"/>
      <c r="P39" s="646"/>
      <c r="Q39" s="91"/>
      <c r="R39" s="650"/>
      <c r="S39" s="651"/>
      <c r="T39" s="651"/>
      <c r="U39" s="651"/>
      <c r="V39" s="652"/>
      <c r="W39" s="177"/>
      <c r="X39" s="650"/>
      <c r="Y39" s="651"/>
      <c r="Z39" s="651"/>
      <c r="AA39" s="651"/>
      <c r="AB39" s="652"/>
      <c r="AD39" s="650"/>
      <c r="AE39" s="651"/>
      <c r="AF39" s="651"/>
      <c r="AG39" s="651"/>
      <c r="AH39" s="652"/>
      <c r="AJ39" s="650"/>
      <c r="AK39" s="651"/>
      <c r="AL39" s="651"/>
      <c r="AM39" s="651"/>
      <c r="AN39" s="652"/>
      <c r="AR39" s="91"/>
      <c r="AS39" s="650"/>
      <c r="AT39" s="651"/>
      <c r="AU39" s="651"/>
      <c r="AV39" s="651"/>
      <c r="AW39" s="652"/>
      <c r="AX39" s="177"/>
      <c r="AY39" s="650"/>
      <c r="AZ39" s="651"/>
      <c r="BA39" s="651"/>
      <c r="BB39" s="651"/>
      <c r="BC39" s="652"/>
      <c r="BE39" s="650"/>
      <c r="BF39" s="651"/>
      <c r="BG39" s="651"/>
      <c r="BH39" s="651"/>
      <c r="BI39" s="652"/>
      <c r="BK39" s="650"/>
      <c r="BL39" s="651"/>
      <c r="BM39" s="651"/>
      <c r="BN39" s="651"/>
      <c r="BO39" s="652"/>
    </row>
    <row r="40" spans="7:67" ht="11.25" customHeight="1">
      <c r="G40" s="633" t="s">
        <v>267</v>
      </c>
      <c r="H40" s="633" t="s">
        <v>126</v>
      </c>
      <c r="I40" s="152"/>
      <c r="J40" s="645"/>
      <c r="K40" s="152"/>
      <c r="L40" s="633" t="s">
        <v>209</v>
      </c>
      <c r="M40" s="633"/>
      <c r="N40" s="633" t="s">
        <v>211</v>
      </c>
      <c r="O40" s="633" t="s">
        <v>37</v>
      </c>
      <c r="P40" s="633" t="s">
        <v>38</v>
      </c>
      <c r="Q40" s="152"/>
      <c r="R40" s="637" t="s">
        <v>209</v>
      </c>
      <c r="S40" s="637"/>
      <c r="T40" s="638" t="s">
        <v>211</v>
      </c>
      <c r="U40" s="638" t="s">
        <v>37</v>
      </c>
      <c r="V40" s="638" t="s">
        <v>38</v>
      </c>
      <c r="W40" s="178"/>
      <c r="X40" s="637" t="s">
        <v>209</v>
      </c>
      <c r="Y40" s="637"/>
      <c r="Z40" s="638" t="s">
        <v>211</v>
      </c>
      <c r="AA40" s="638" t="s">
        <v>37</v>
      </c>
      <c r="AB40" s="638" t="s">
        <v>38</v>
      </c>
      <c r="AD40" s="637" t="s">
        <v>209</v>
      </c>
      <c r="AE40" s="637"/>
      <c r="AF40" s="638" t="s">
        <v>211</v>
      </c>
      <c r="AG40" s="638" t="s">
        <v>37</v>
      </c>
      <c r="AH40" s="638" t="s">
        <v>38</v>
      </c>
      <c r="AJ40" s="637" t="s">
        <v>209</v>
      </c>
      <c r="AK40" s="637"/>
      <c r="AL40" s="638" t="s">
        <v>211</v>
      </c>
      <c r="AM40" s="638" t="s">
        <v>37</v>
      </c>
      <c r="AN40" s="638" t="s">
        <v>38</v>
      </c>
      <c r="AR40" s="152"/>
      <c r="AS40" s="638" t="s">
        <v>209</v>
      </c>
      <c r="AT40" s="638"/>
      <c r="AU40" s="638" t="s">
        <v>211</v>
      </c>
      <c r="AV40" s="638" t="s">
        <v>37</v>
      </c>
      <c r="AW40" s="638" t="s">
        <v>38</v>
      </c>
      <c r="AX40" s="178"/>
      <c r="AY40" s="638" t="s">
        <v>209</v>
      </c>
      <c r="AZ40" s="638"/>
      <c r="BA40" s="638" t="s">
        <v>211</v>
      </c>
      <c r="BB40" s="638" t="s">
        <v>37</v>
      </c>
      <c r="BC40" s="638" t="s">
        <v>38</v>
      </c>
      <c r="BE40" s="638" t="s">
        <v>209</v>
      </c>
      <c r="BF40" s="638"/>
      <c r="BG40" s="638" t="s">
        <v>211</v>
      </c>
      <c r="BH40" s="638" t="s">
        <v>37</v>
      </c>
      <c r="BI40" s="638" t="s">
        <v>38</v>
      </c>
      <c r="BK40" s="638" t="s">
        <v>209</v>
      </c>
      <c r="BL40" s="638"/>
      <c r="BM40" s="638" t="s">
        <v>211</v>
      </c>
      <c r="BN40" s="638" t="s">
        <v>37</v>
      </c>
      <c r="BO40" s="638" t="s">
        <v>38</v>
      </c>
    </row>
    <row r="41" spans="7:67" ht="33.75">
      <c r="G41" s="623"/>
      <c r="H41" s="623"/>
      <c r="I41" s="152"/>
      <c r="J41" s="645"/>
      <c r="K41" s="152"/>
      <c r="L41" s="453" t="s">
        <v>212</v>
      </c>
      <c r="M41" s="453" t="s">
        <v>213</v>
      </c>
      <c r="N41" s="633"/>
      <c r="O41" s="633"/>
      <c r="P41" s="633"/>
      <c r="Q41" s="152"/>
      <c r="R41" s="332" t="s">
        <v>212</v>
      </c>
      <c r="S41" s="332" t="s">
        <v>213</v>
      </c>
      <c r="T41" s="638"/>
      <c r="U41" s="638"/>
      <c r="V41" s="638"/>
      <c r="W41" s="178"/>
      <c r="X41" s="332" t="s">
        <v>212</v>
      </c>
      <c r="Y41" s="332" t="s">
        <v>213</v>
      </c>
      <c r="Z41" s="638"/>
      <c r="AA41" s="638"/>
      <c r="AB41" s="638"/>
      <c r="AD41" s="332" t="s">
        <v>212</v>
      </c>
      <c r="AE41" s="332" t="s">
        <v>213</v>
      </c>
      <c r="AF41" s="638"/>
      <c r="AG41" s="638"/>
      <c r="AH41" s="638"/>
      <c r="AJ41" s="332" t="s">
        <v>212</v>
      </c>
      <c r="AK41" s="332" t="s">
        <v>213</v>
      </c>
      <c r="AL41" s="638"/>
      <c r="AM41" s="638"/>
      <c r="AN41" s="638"/>
      <c r="AR41" s="152"/>
      <c r="AS41" s="159" t="s">
        <v>212</v>
      </c>
      <c r="AT41" s="159" t="s">
        <v>213</v>
      </c>
      <c r="AU41" s="638"/>
      <c r="AV41" s="638"/>
      <c r="AW41" s="638"/>
      <c r="AX41" s="178"/>
      <c r="AY41" s="159" t="s">
        <v>212</v>
      </c>
      <c r="AZ41" s="159" t="s">
        <v>213</v>
      </c>
      <c r="BA41" s="638"/>
      <c r="BB41" s="638"/>
      <c r="BC41" s="638"/>
      <c r="BE41" s="159" t="s">
        <v>212</v>
      </c>
      <c r="BF41" s="159" t="s">
        <v>213</v>
      </c>
      <c r="BG41" s="638"/>
      <c r="BH41" s="638"/>
      <c r="BI41" s="638"/>
      <c r="BK41" s="159" t="s">
        <v>212</v>
      </c>
      <c r="BL41" s="159" t="s">
        <v>213</v>
      </c>
      <c r="BM41" s="638"/>
      <c r="BN41" s="638"/>
      <c r="BO41" s="638"/>
    </row>
    <row r="42" spans="7:67" ht="11.25">
      <c r="G42" s="503" t="s">
        <v>84</v>
      </c>
      <c r="H42" s="503" t="s">
        <v>80</v>
      </c>
      <c r="I42" s="166"/>
      <c r="J42" s="411"/>
      <c r="K42" s="166"/>
      <c r="L42" s="503" t="s">
        <v>81</v>
      </c>
      <c r="M42" s="503" t="s">
        <v>124</v>
      </c>
      <c r="N42" s="503" t="s">
        <v>123</v>
      </c>
      <c r="O42" s="503" t="s">
        <v>122</v>
      </c>
      <c r="P42" s="503" t="s">
        <v>121</v>
      </c>
      <c r="Q42" s="166"/>
      <c r="R42" s="328" t="s">
        <v>120</v>
      </c>
      <c r="S42" s="328" t="s">
        <v>75</v>
      </c>
      <c r="T42" s="165" t="s">
        <v>76</v>
      </c>
      <c r="U42" s="165" t="s">
        <v>77</v>
      </c>
      <c r="V42" s="165" t="s">
        <v>78</v>
      </c>
      <c r="W42" s="176"/>
      <c r="X42" s="328" t="s">
        <v>3</v>
      </c>
      <c r="Y42" s="328" t="s">
        <v>4</v>
      </c>
      <c r="Z42" s="165" t="s">
        <v>5</v>
      </c>
      <c r="AA42" s="165" t="s">
        <v>6</v>
      </c>
      <c r="AB42" s="165" t="s">
        <v>7</v>
      </c>
      <c r="AD42" s="328" t="s">
        <v>8</v>
      </c>
      <c r="AE42" s="328" t="s">
        <v>9</v>
      </c>
      <c r="AF42" s="165" t="s">
        <v>10</v>
      </c>
      <c r="AG42" s="165" t="s">
        <v>11</v>
      </c>
      <c r="AH42" s="165" t="s">
        <v>12</v>
      </c>
      <c r="AJ42" s="328" t="s">
        <v>13</v>
      </c>
      <c r="AK42" s="328" t="s">
        <v>14</v>
      </c>
      <c r="AL42" s="165" t="s">
        <v>15</v>
      </c>
      <c r="AM42" s="165" t="s">
        <v>16</v>
      </c>
      <c r="AN42" s="165" t="s">
        <v>17</v>
      </c>
      <c r="AR42" s="166"/>
      <c r="AS42" s="165" t="s">
        <v>120</v>
      </c>
      <c r="AT42" s="165" t="s">
        <v>75</v>
      </c>
      <c r="AU42" s="165" t="s">
        <v>76</v>
      </c>
      <c r="AV42" s="165" t="s">
        <v>77</v>
      </c>
      <c r="AW42" s="165" t="s">
        <v>78</v>
      </c>
      <c r="AX42" s="176"/>
      <c r="AY42" s="165" t="s">
        <v>3</v>
      </c>
      <c r="AZ42" s="165" t="s">
        <v>4</v>
      </c>
      <c r="BA42" s="165" t="s">
        <v>5</v>
      </c>
      <c r="BB42" s="165" t="s">
        <v>6</v>
      </c>
      <c r="BC42" s="165" t="s">
        <v>7</v>
      </c>
      <c r="BE42" s="165" t="s">
        <v>8</v>
      </c>
      <c r="BF42" s="165" t="s">
        <v>9</v>
      </c>
      <c r="BG42" s="165" t="s">
        <v>10</v>
      </c>
      <c r="BH42" s="165" t="s">
        <v>11</v>
      </c>
      <c r="BI42" s="165" t="s">
        <v>12</v>
      </c>
      <c r="BK42" s="165" t="s">
        <v>13</v>
      </c>
      <c r="BL42" s="165" t="s">
        <v>14</v>
      </c>
      <c r="BM42" s="165" t="s">
        <v>15</v>
      </c>
      <c r="BN42" s="165" t="s">
        <v>16</v>
      </c>
      <c r="BO42" s="165" t="s">
        <v>17</v>
      </c>
    </row>
    <row r="43" spans="7:67" ht="57">
      <c r="G43" s="492" t="s">
        <v>84</v>
      </c>
      <c r="H43" s="505" t="s">
        <v>284</v>
      </c>
      <c r="I43" s="167"/>
      <c r="J43" s="232"/>
      <c r="K43" s="167"/>
      <c r="L43" s="461"/>
      <c r="M43" s="461"/>
      <c r="N43" s="461"/>
      <c r="O43" s="461"/>
      <c r="P43" s="460">
        <f>(P45+P44)/2</f>
        <v>2.5</v>
      </c>
      <c r="Q43" s="232"/>
      <c r="R43" s="251"/>
      <c r="S43" s="251"/>
      <c r="T43" s="251"/>
      <c r="U43" s="251"/>
      <c r="V43" s="250">
        <f>(V45+V44)/2</f>
        <v>2</v>
      </c>
      <c r="W43" s="252"/>
      <c r="X43" s="251"/>
      <c r="Y43" s="251"/>
      <c r="Z43" s="251"/>
      <c r="AA43" s="251"/>
      <c r="AB43" s="250">
        <f>(AB45+AB44)/2</f>
        <v>2</v>
      </c>
      <c r="AC43" s="229"/>
      <c r="AD43" s="251"/>
      <c r="AE43" s="251"/>
      <c r="AF43" s="251"/>
      <c r="AG43" s="251"/>
      <c r="AH43" s="250">
        <f>(AH45+AH44)/2</f>
        <v>2</v>
      </c>
      <c r="AI43" s="229"/>
      <c r="AJ43" s="251"/>
      <c r="AK43" s="251"/>
      <c r="AL43" s="251"/>
      <c r="AM43" s="251"/>
      <c r="AN43" s="250">
        <f>(AN45+AN44)/2</f>
        <v>2</v>
      </c>
      <c r="AO43" s="229"/>
      <c r="AP43" s="229"/>
      <c r="AQ43" s="229"/>
      <c r="AR43" s="232"/>
      <c r="AS43" s="251"/>
      <c r="AT43" s="251"/>
      <c r="AU43" s="251"/>
      <c r="AV43" s="251"/>
      <c r="AW43" s="250">
        <f>(AW45+AW44)/2</f>
        <v>2</v>
      </c>
      <c r="AX43" s="252"/>
      <c r="AY43" s="251"/>
      <c r="AZ43" s="251"/>
      <c r="BA43" s="251"/>
      <c r="BB43" s="251"/>
      <c r="BC43" s="250">
        <f>(BC45+BC44)/2</f>
        <v>2</v>
      </c>
      <c r="BE43" s="170"/>
      <c r="BF43" s="170"/>
      <c r="BG43" s="170"/>
      <c r="BH43" s="170"/>
      <c r="BI43" s="149">
        <f>(BI45+BI44)/2</f>
        <v>2</v>
      </c>
      <c r="BK43" s="170"/>
      <c r="BL43" s="170"/>
      <c r="BM43" s="170"/>
      <c r="BN43" s="170"/>
      <c r="BO43" s="149">
        <f>(BO45+BO44)/2</f>
        <v>2</v>
      </c>
    </row>
    <row r="44" spans="7:67" ht="22.5">
      <c r="G44" s="492" t="s">
        <v>141</v>
      </c>
      <c r="H44" s="506" t="s">
        <v>285</v>
      </c>
      <c r="I44" s="168"/>
      <c r="J44" s="232"/>
      <c r="K44" s="167"/>
      <c r="L44" s="460">
        <f>L14</f>
        <v>29</v>
      </c>
      <c r="M44" s="460">
        <f>M14</f>
        <v>29</v>
      </c>
      <c r="N44" s="460">
        <f>IF(M44&gt;0,L44/M44*100,IF(L44=0,100,120))</f>
        <v>100</v>
      </c>
      <c r="O44" s="455" t="s">
        <v>118</v>
      </c>
      <c r="P44" s="504">
        <f>IF(N44&gt;120,3,IF(N44&lt;=120,IF(N44&lt;=80,1,2)))</f>
        <v>2</v>
      </c>
      <c r="Q44" s="254"/>
      <c r="R44" s="250">
        <f>R14</f>
        <v>28.565</v>
      </c>
      <c r="S44" s="250">
        <f>S14</f>
        <v>28.565</v>
      </c>
      <c r="T44" s="250">
        <f>IF(S44&gt;0,R44/S44*100,IF(R44=0,100,120))</f>
        <v>100</v>
      </c>
      <c r="U44" s="248" t="s">
        <v>118</v>
      </c>
      <c r="V44" s="253">
        <f>IF(T44&gt;120,3,IF(T44&lt;=120,IF(T44&lt;=80,1,2)))</f>
        <v>2</v>
      </c>
      <c r="W44" s="255"/>
      <c r="X44" s="250">
        <f>X14</f>
        <v>28.993475</v>
      </c>
      <c r="Y44" s="250">
        <f>Y14</f>
        <v>28.993475</v>
      </c>
      <c r="Z44" s="250">
        <f>IF(Y44&gt;0,X44/Y44*100,IF(X44=0,100,120))</f>
        <v>100</v>
      </c>
      <c r="AA44" s="248" t="s">
        <v>118</v>
      </c>
      <c r="AB44" s="253">
        <f>IF(Z44&gt;120,3,IF(Z44&lt;=120,IF(Z44&lt;=80,1,2)))</f>
        <v>2</v>
      </c>
      <c r="AC44" s="229"/>
      <c r="AD44" s="250">
        <f>AD14</f>
        <v>29.428377124999997</v>
      </c>
      <c r="AE44" s="250">
        <f>AE14</f>
        <v>29.428377124999997</v>
      </c>
      <c r="AF44" s="250">
        <f>IF(AE44&gt;0,AD44/AE44*100,IF(AD44=0,100,120))</f>
        <v>100</v>
      </c>
      <c r="AG44" s="248" t="s">
        <v>118</v>
      </c>
      <c r="AH44" s="253">
        <f>IF(AF44&gt;120,3,IF(AF44&lt;=120,IF(AF44&lt;=80,1,2)))</f>
        <v>2</v>
      </c>
      <c r="AI44" s="229"/>
      <c r="AJ44" s="250">
        <f>AJ14</f>
        <v>29.869802781874995</v>
      </c>
      <c r="AK44" s="250">
        <f>AK14</f>
        <v>29.869802781874995</v>
      </c>
      <c r="AL44" s="250">
        <f>IF(AK44&gt;0,AJ44/AK44*100,IF(AJ44=0,100,120))</f>
        <v>100</v>
      </c>
      <c r="AM44" s="248" t="s">
        <v>118</v>
      </c>
      <c r="AN44" s="253">
        <f>IF(AL44&gt;120,3,IF(AL44&lt;=120,IF(AL44&lt;=80,1,2)))</f>
        <v>2</v>
      </c>
      <c r="AO44" s="229"/>
      <c r="AP44" s="229"/>
      <c r="AQ44" s="229"/>
      <c r="AR44" s="254"/>
      <c r="AS44" s="250">
        <f>AS14</f>
        <v>0</v>
      </c>
      <c r="AT44" s="250">
        <f>AT14</f>
        <v>0</v>
      </c>
      <c r="AU44" s="250">
        <f>IF(AT44&gt;0,AS44/AT44*100,IF(AS44=0,100,120))</f>
        <v>100</v>
      </c>
      <c r="AV44" s="248" t="s">
        <v>118</v>
      </c>
      <c r="AW44" s="253">
        <f>IF(AU44&gt;120,3,IF(AU44&lt;=120,IF(AU44&lt;=80,1,2)))</f>
        <v>2</v>
      </c>
      <c r="AX44" s="255"/>
      <c r="AY44" s="250">
        <f>AY14</f>
        <v>0</v>
      </c>
      <c r="AZ44" s="250">
        <f>AZ14</f>
        <v>0</v>
      </c>
      <c r="BA44" s="250">
        <f>IF(AZ44&gt;0,AY44/AZ44*100,IF(AY44=0,100,120))</f>
        <v>100</v>
      </c>
      <c r="BB44" s="248" t="s">
        <v>118</v>
      </c>
      <c r="BC44" s="253">
        <f>IF(BA44&gt;120,3,IF(BA44&lt;=120,IF(BA44&lt;=80,1,2)))</f>
        <v>2</v>
      </c>
      <c r="BE44" s="162">
        <f>BE14</f>
        <v>0</v>
      </c>
      <c r="BF44" s="162">
        <f>BF14</f>
        <v>0</v>
      </c>
      <c r="BG44" s="175">
        <f>IF(BF44&gt;0,BE44/BF44*100,IF(BE44=0,100,120))</f>
        <v>100</v>
      </c>
      <c r="BH44" s="163" t="s">
        <v>118</v>
      </c>
      <c r="BI44" s="148">
        <f>IF(BG44&gt;120,3,IF(BG44&lt;=120,IF(BG44&lt;=80,1,2)))</f>
        <v>2</v>
      </c>
      <c r="BK44" s="162">
        <f>BK14</f>
        <v>0</v>
      </c>
      <c r="BL44" s="162">
        <f>BL14</f>
        <v>0</v>
      </c>
      <c r="BM44" s="175">
        <f>IF(BL44&gt;0,BK44/BL44*100,IF(BK44=0,100,120))</f>
        <v>100</v>
      </c>
      <c r="BN44" s="163" t="s">
        <v>118</v>
      </c>
      <c r="BO44" s="148">
        <f>IF(BM44&gt;120,3,IF(BM44&lt;=120,IF(BM44&lt;=80,1,2)))</f>
        <v>2</v>
      </c>
    </row>
    <row r="45" spans="7:67" ht="33.75">
      <c r="G45" s="492" t="s">
        <v>140</v>
      </c>
      <c r="H45" s="506" t="s">
        <v>286</v>
      </c>
      <c r="I45" s="168"/>
      <c r="J45" s="232"/>
      <c r="K45" s="168"/>
      <c r="L45" s="460">
        <f>L15</f>
        <v>365</v>
      </c>
      <c r="M45" s="460">
        <f>M15</f>
        <v>180</v>
      </c>
      <c r="N45" s="460">
        <f>IF(M45&gt;0,L45/M45*100,IF(L45=0,100,120))</f>
        <v>202.77777777777777</v>
      </c>
      <c r="O45" s="455" t="s">
        <v>118</v>
      </c>
      <c r="P45" s="504">
        <f>IF(N45&gt;120,3,IF(N45&lt;=120,IF(N45&lt;=80,1,2)))</f>
        <v>3</v>
      </c>
      <c r="Q45" s="254"/>
      <c r="R45" s="250">
        <f>R15</f>
        <v>177.3</v>
      </c>
      <c r="S45" s="250">
        <f>S15</f>
        <v>177.3</v>
      </c>
      <c r="T45" s="250">
        <f>IF(S45&gt;0,R45/S45*100,IF(R45=0,100,120))</f>
        <v>100</v>
      </c>
      <c r="U45" s="248" t="s">
        <v>118</v>
      </c>
      <c r="V45" s="253">
        <f>IF(T45&gt;120,3,IF(T45&lt;=120,IF(T45&lt;=80,1,2)))</f>
        <v>2</v>
      </c>
      <c r="W45" s="255"/>
      <c r="X45" s="250">
        <f>X15</f>
        <v>179.9595</v>
      </c>
      <c r="Y45" s="250">
        <f>Y15</f>
        <v>179.9595</v>
      </c>
      <c r="Z45" s="250">
        <f>IF(Y45&gt;0,X45/Y45*100,IF(X45=0,100,120))</f>
        <v>100</v>
      </c>
      <c r="AA45" s="248" t="s">
        <v>118</v>
      </c>
      <c r="AB45" s="253">
        <f>IF(Z45&gt;120,3,IF(Z45&lt;=120,IF(Z45&lt;=80,1,2)))</f>
        <v>2</v>
      </c>
      <c r="AC45" s="229"/>
      <c r="AD45" s="250">
        <f>AD15</f>
        <v>182.65889249999998</v>
      </c>
      <c r="AE45" s="250">
        <f>AE15</f>
        <v>182.65889249999998</v>
      </c>
      <c r="AF45" s="250">
        <f>IF(AE45&gt;0,AD45/AE45*100,IF(AD45=0,100,120))</f>
        <v>100</v>
      </c>
      <c r="AG45" s="248" t="s">
        <v>118</v>
      </c>
      <c r="AH45" s="253">
        <f>IF(AF45&gt;120,3,IF(AF45&lt;=120,IF(AF45&lt;=80,1,2)))</f>
        <v>2</v>
      </c>
      <c r="AI45" s="229"/>
      <c r="AJ45" s="250">
        <f>AJ15</f>
        <v>185.39877588749997</v>
      </c>
      <c r="AK45" s="250">
        <f>AK15</f>
        <v>185.39877588749997</v>
      </c>
      <c r="AL45" s="250">
        <f>IF(AK45&gt;0,AJ45/AK45*100,IF(AJ45=0,100,120))</f>
        <v>100</v>
      </c>
      <c r="AM45" s="248" t="s">
        <v>118</v>
      </c>
      <c r="AN45" s="253">
        <f>IF(AL45&gt;120,3,IF(AL45&lt;=120,IF(AL45&lt;=80,1,2)))</f>
        <v>2</v>
      </c>
      <c r="AO45" s="229"/>
      <c r="AP45" s="229"/>
      <c r="AQ45" s="229"/>
      <c r="AR45" s="254"/>
      <c r="AS45" s="250">
        <f>AS15</f>
        <v>0</v>
      </c>
      <c r="AT45" s="250">
        <f>AT15</f>
        <v>0</v>
      </c>
      <c r="AU45" s="250">
        <f>IF(AT45&gt;0,AS45/AT45*100,IF(AS45=0,100,120))</f>
        <v>100</v>
      </c>
      <c r="AV45" s="248" t="s">
        <v>118</v>
      </c>
      <c r="AW45" s="253">
        <f>IF(AU45&gt;120,3,IF(AU45&lt;=120,IF(AU45&lt;=80,1,2)))</f>
        <v>2</v>
      </c>
      <c r="AX45" s="255"/>
      <c r="AY45" s="250">
        <f>AY15</f>
        <v>0</v>
      </c>
      <c r="AZ45" s="250">
        <f>AZ15</f>
        <v>0</v>
      </c>
      <c r="BA45" s="250">
        <f>IF(AZ45&gt;0,AY45/AZ45*100,IF(AY45=0,100,120))</f>
        <v>100</v>
      </c>
      <c r="BB45" s="248" t="s">
        <v>118</v>
      </c>
      <c r="BC45" s="253">
        <f>IF(BA45&gt;120,3,IF(BA45&lt;=120,IF(BA45&lt;=80,1,2)))</f>
        <v>2</v>
      </c>
      <c r="BE45" s="162">
        <f>BE15</f>
        <v>0</v>
      </c>
      <c r="BF45" s="162">
        <f>BF15</f>
        <v>0</v>
      </c>
      <c r="BG45" s="175">
        <f>IF(BF45&gt;0,BE45/BF45*100,IF(BE45=0,100,120))</f>
        <v>100</v>
      </c>
      <c r="BH45" s="163" t="s">
        <v>118</v>
      </c>
      <c r="BI45" s="148">
        <f>IF(BG45&gt;120,3,IF(BG45&lt;=120,IF(BG45&lt;=80,1,2)))</f>
        <v>2</v>
      </c>
      <c r="BK45" s="162">
        <f>BK15</f>
        <v>0</v>
      </c>
      <c r="BL45" s="162">
        <f>BL15</f>
        <v>0</v>
      </c>
      <c r="BM45" s="175">
        <f>IF(BL45&gt;0,BK45/BL45*100,IF(BK45=0,100,120))</f>
        <v>100</v>
      </c>
      <c r="BN45" s="163" t="s">
        <v>118</v>
      </c>
      <c r="BO45" s="148">
        <f>IF(BM45&gt;120,3,IF(BM45&lt;=120,IF(BM45&lt;=80,1,2)))</f>
        <v>2</v>
      </c>
    </row>
    <row r="46" spans="7:67" ht="22.5">
      <c r="G46" s="492" t="s">
        <v>80</v>
      </c>
      <c r="H46" s="507" t="s">
        <v>287</v>
      </c>
      <c r="I46" s="358"/>
      <c r="J46" s="232"/>
      <c r="K46" s="168"/>
      <c r="L46" s="455"/>
      <c r="M46" s="455"/>
      <c r="N46" s="455"/>
      <c r="O46" s="455" t="s">
        <v>118</v>
      </c>
      <c r="P46" s="504">
        <f>AVERAGE(P47,P48,P51)</f>
        <v>0.5</v>
      </c>
      <c r="Q46" s="254"/>
      <c r="R46" s="248"/>
      <c r="S46" s="248"/>
      <c r="T46" s="248"/>
      <c r="U46" s="248" t="s">
        <v>118</v>
      </c>
      <c r="V46" s="253">
        <f>AVERAGE(V47,V48,V51)</f>
        <v>0.5</v>
      </c>
      <c r="W46" s="255"/>
      <c r="X46" s="248"/>
      <c r="Y46" s="248"/>
      <c r="Z46" s="248"/>
      <c r="AA46" s="248" t="s">
        <v>118</v>
      </c>
      <c r="AB46" s="253">
        <f>AVERAGE(AB47,AB48,AB51)</f>
        <v>0.5</v>
      </c>
      <c r="AC46" s="229"/>
      <c r="AD46" s="248"/>
      <c r="AE46" s="248"/>
      <c r="AF46" s="248"/>
      <c r="AG46" s="248" t="s">
        <v>118</v>
      </c>
      <c r="AH46" s="253">
        <f>AVERAGE(AH47,AH48,AH51)</f>
        <v>0.5</v>
      </c>
      <c r="AI46" s="229"/>
      <c r="AJ46" s="248"/>
      <c r="AK46" s="248"/>
      <c r="AL46" s="248"/>
      <c r="AM46" s="248" t="s">
        <v>118</v>
      </c>
      <c r="AN46" s="253">
        <f>AVERAGE(AN47,AN48,AN51)</f>
        <v>0.5</v>
      </c>
      <c r="AO46" s="229"/>
      <c r="AP46" s="229"/>
      <c r="AQ46" s="229"/>
      <c r="AR46" s="254"/>
      <c r="AS46" s="248"/>
      <c r="AT46" s="248"/>
      <c r="AU46" s="248"/>
      <c r="AV46" s="248" t="s">
        <v>118</v>
      </c>
      <c r="AW46" s="253">
        <f>AVERAGE(AW47,AW48,AW51)</f>
        <v>0.5</v>
      </c>
      <c r="AX46" s="255"/>
      <c r="AY46" s="248"/>
      <c r="AZ46" s="248"/>
      <c r="BA46" s="248"/>
      <c r="BB46" s="248" t="s">
        <v>118</v>
      </c>
      <c r="BC46" s="253">
        <f>AVERAGE(BC47,BC48,BC51)</f>
        <v>0.5</v>
      </c>
      <c r="BE46" s="163"/>
      <c r="BF46" s="163"/>
      <c r="BG46" s="147"/>
      <c r="BH46" s="163" t="s">
        <v>118</v>
      </c>
      <c r="BI46" s="148">
        <f>AVERAGE(BI47,BI48,BI51)</f>
        <v>0.5</v>
      </c>
      <c r="BK46" s="163"/>
      <c r="BL46" s="163"/>
      <c r="BM46" s="147"/>
      <c r="BN46" s="163" t="s">
        <v>118</v>
      </c>
      <c r="BO46" s="148">
        <f>AVERAGE(BO47,BO48,BO51)</f>
        <v>0.5</v>
      </c>
    </row>
    <row r="47" spans="7:67" ht="33.75">
      <c r="G47" s="492" t="s">
        <v>114</v>
      </c>
      <c r="H47" s="506" t="s">
        <v>166</v>
      </c>
      <c r="I47" s="168"/>
      <c r="J47" s="232"/>
      <c r="K47" s="169"/>
      <c r="L47" s="460">
        <f>L17</f>
        <v>1</v>
      </c>
      <c r="M47" s="460">
        <f>M17</f>
        <v>1</v>
      </c>
      <c r="N47" s="460">
        <f>IF(M47&gt;0,L47/M47*100,IF(L47=0,100,120))</f>
        <v>100</v>
      </c>
      <c r="O47" s="455" t="s">
        <v>118</v>
      </c>
      <c r="P47" s="504">
        <f>IF(N47&gt;120,0.75,IF(N47&lt;=120,IF(N47&lt;=80,0.25,0.5)))</f>
        <v>0.5</v>
      </c>
      <c r="Q47" s="254"/>
      <c r="R47" s="250">
        <f>R17</f>
        <v>0.985</v>
      </c>
      <c r="S47" s="250">
        <f>S17</f>
        <v>0.985</v>
      </c>
      <c r="T47" s="250">
        <f>IF(S47&gt;0,R47/S47*100,IF(R47=0,100,120))</f>
        <v>100</v>
      </c>
      <c r="U47" s="248" t="s">
        <v>118</v>
      </c>
      <c r="V47" s="253">
        <f>IF(T47&gt;120,0.75,IF(T47&lt;=120,IF(T47&lt;=80,0.25,0.5)))</f>
        <v>0.5</v>
      </c>
      <c r="W47" s="255"/>
      <c r="X47" s="250">
        <f>X17</f>
        <v>0.9997749999999999</v>
      </c>
      <c r="Y47" s="250">
        <f>Y17</f>
        <v>0.9997749999999999</v>
      </c>
      <c r="Z47" s="250">
        <f>IF(Y47&gt;0,X47/Y47*100,IF(X47=0,100,120))</f>
        <v>100</v>
      </c>
      <c r="AA47" s="248" t="s">
        <v>118</v>
      </c>
      <c r="AB47" s="253">
        <f>IF(Z47&gt;120,0.75,IF(Z47&lt;=120,IF(Z47&lt;=80,0.25,0.5)))</f>
        <v>0.5</v>
      </c>
      <c r="AC47" s="229"/>
      <c r="AD47" s="250">
        <f>AD17</f>
        <v>1.0147716249999998</v>
      </c>
      <c r="AE47" s="250">
        <f>AE17</f>
        <v>1.0147716249999998</v>
      </c>
      <c r="AF47" s="250">
        <f>IF(AE47&gt;0,AD47/AE47*100,IF(AD47=0,100,120))</f>
        <v>100</v>
      </c>
      <c r="AG47" s="248" t="s">
        <v>118</v>
      </c>
      <c r="AH47" s="253">
        <f>IF(AF47&gt;120,0.75,IF(AF47&lt;=120,IF(AF47&lt;=80,0.25,0.5)))</f>
        <v>0.5</v>
      </c>
      <c r="AI47" s="229"/>
      <c r="AJ47" s="250">
        <f>AJ17</f>
        <v>1.0299931993749998</v>
      </c>
      <c r="AK47" s="250">
        <f>AK17</f>
        <v>1.0299931993749998</v>
      </c>
      <c r="AL47" s="250">
        <f>IF(AK47&gt;0,AJ47/AK47*100,IF(AJ47=0,100,120))</f>
        <v>100</v>
      </c>
      <c r="AM47" s="248" t="s">
        <v>118</v>
      </c>
      <c r="AN47" s="253">
        <f>IF(AL47&gt;120,0.75,IF(AL47&lt;=120,IF(AL47&lt;=80,0.25,0.5)))</f>
        <v>0.5</v>
      </c>
      <c r="AO47" s="229"/>
      <c r="AP47" s="229"/>
      <c r="AQ47" s="229"/>
      <c r="AR47" s="254"/>
      <c r="AS47" s="250">
        <f>AS17</f>
        <v>0</v>
      </c>
      <c r="AT47" s="250">
        <f>AT17</f>
        <v>0</v>
      </c>
      <c r="AU47" s="250">
        <f>IF(AT47&gt;0,AS47/AT47*100,IF(AS47=0,100,120))</f>
        <v>100</v>
      </c>
      <c r="AV47" s="248" t="s">
        <v>118</v>
      </c>
      <c r="AW47" s="253">
        <f>IF(AU47&gt;120,0.75,IF(AU47&lt;=120,IF(AU47&lt;=80,0.25,0.5)))</f>
        <v>0.5</v>
      </c>
      <c r="AX47" s="255"/>
      <c r="AY47" s="250">
        <f>AY17</f>
        <v>0</v>
      </c>
      <c r="AZ47" s="250">
        <f>AZ17</f>
        <v>0</v>
      </c>
      <c r="BA47" s="250">
        <f>IF(AZ47&gt;0,AY47/AZ47*100,IF(AY47=0,100,120))</f>
        <v>100</v>
      </c>
      <c r="BB47" s="248" t="s">
        <v>118</v>
      </c>
      <c r="BC47" s="253">
        <f>IF(BA47&gt;120,0.75,IF(BA47&lt;=120,IF(BA47&lt;=80,0.25,0.5)))</f>
        <v>0.5</v>
      </c>
      <c r="BE47" s="162">
        <f>BE17</f>
        <v>0</v>
      </c>
      <c r="BF47" s="162">
        <f>BF17</f>
        <v>0</v>
      </c>
      <c r="BG47" s="175">
        <f>IF(BF47&gt;0,BE47/BF47*100,IF(BE47=0,100,120))</f>
        <v>100</v>
      </c>
      <c r="BH47" s="163" t="s">
        <v>118</v>
      </c>
      <c r="BI47" s="148">
        <f>IF(BG47&gt;120,0.75,IF(BG47&lt;=120,IF(BG47&lt;=80,0.25,0.5)))</f>
        <v>0.5</v>
      </c>
      <c r="BK47" s="162">
        <f>BK17</f>
        <v>0</v>
      </c>
      <c r="BL47" s="162">
        <f>BL17</f>
        <v>0</v>
      </c>
      <c r="BM47" s="175">
        <f>IF(BL47&gt;0,BK47/BL47*100,IF(BK47=0,100,120))</f>
        <v>100</v>
      </c>
      <c r="BN47" s="163" t="s">
        <v>118</v>
      </c>
      <c r="BO47" s="148">
        <f>IF(BM47&gt;120,0.75,IF(BM47&lt;=120,IF(BM47&lt;=80,0.25,0.5)))</f>
        <v>0.5</v>
      </c>
    </row>
    <row r="48" spans="7:67" ht="22.5">
      <c r="G48" s="492" t="s">
        <v>113</v>
      </c>
      <c r="H48" s="506" t="s">
        <v>195</v>
      </c>
      <c r="I48" s="168"/>
      <c r="J48" s="232"/>
      <c r="K48" s="169"/>
      <c r="L48" s="455"/>
      <c r="M48" s="455"/>
      <c r="N48" s="455"/>
      <c r="O48" s="455" t="s">
        <v>118</v>
      </c>
      <c r="P48" s="504">
        <f>AVERAGE(P49,P50)</f>
        <v>0.5</v>
      </c>
      <c r="Q48" s="254"/>
      <c r="R48" s="248"/>
      <c r="S48" s="248"/>
      <c r="T48" s="248"/>
      <c r="U48" s="248" t="s">
        <v>118</v>
      </c>
      <c r="V48" s="253">
        <f>AVERAGE(V49,V50)</f>
        <v>0.5</v>
      </c>
      <c r="W48" s="255"/>
      <c r="X48" s="248"/>
      <c r="Y48" s="248"/>
      <c r="Z48" s="248"/>
      <c r="AA48" s="248" t="s">
        <v>118</v>
      </c>
      <c r="AB48" s="253">
        <f>AVERAGE(AB49,AB50)</f>
        <v>0.5</v>
      </c>
      <c r="AC48" s="229"/>
      <c r="AD48" s="248"/>
      <c r="AE48" s="248"/>
      <c r="AF48" s="248"/>
      <c r="AG48" s="248" t="s">
        <v>118</v>
      </c>
      <c r="AH48" s="253">
        <f>AVERAGE(AH49,AH50)</f>
        <v>0.5</v>
      </c>
      <c r="AI48" s="229"/>
      <c r="AJ48" s="248"/>
      <c r="AK48" s="248"/>
      <c r="AL48" s="248"/>
      <c r="AM48" s="248" t="s">
        <v>118</v>
      </c>
      <c r="AN48" s="253">
        <f>AVERAGE(AN49,AN50)</f>
        <v>0.5</v>
      </c>
      <c r="AO48" s="229"/>
      <c r="AP48" s="229"/>
      <c r="AQ48" s="229"/>
      <c r="AR48" s="254"/>
      <c r="AS48" s="248"/>
      <c r="AT48" s="248"/>
      <c r="AU48" s="248"/>
      <c r="AV48" s="248" t="s">
        <v>118</v>
      </c>
      <c r="AW48" s="253">
        <f>AVERAGE(AW49,AW50)</f>
        <v>0.5</v>
      </c>
      <c r="AX48" s="255"/>
      <c r="AY48" s="248"/>
      <c r="AZ48" s="248"/>
      <c r="BA48" s="248"/>
      <c r="BB48" s="248" t="s">
        <v>118</v>
      </c>
      <c r="BC48" s="253">
        <f>AVERAGE(BC49,BC50)</f>
        <v>0.5</v>
      </c>
      <c r="BE48" s="163"/>
      <c r="BF48" s="163"/>
      <c r="BG48" s="147"/>
      <c r="BH48" s="163" t="s">
        <v>118</v>
      </c>
      <c r="BI48" s="148">
        <f>AVERAGE(BI49,BI50)</f>
        <v>0.5</v>
      </c>
      <c r="BK48" s="163"/>
      <c r="BL48" s="163"/>
      <c r="BM48" s="147"/>
      <c r="BN48" s="163" t="s">
        <v>118</v>
      </c>
      <c r="BO48" s="148">
        <f>AVERAGE(BO49,BO50)</f>
        <v>0.5</v>
      </c>
    </row>
    <row r="49" spans="7:67" ht="33.75">
      <c r="G49" s="492" t="s">
        <v>194</v>
      </c>
      <c r="H49" s="508" t="s">
        <v>288</v>
      </c>
      <c r="I49" s="169"/>
      <c r="J49" s="232"/>
      <c r="K49" s="169"/>
      <c r="L49" s="460">
        <f aca="true" t="shared" si="0" ref="L49:M51">L19</f>
        <v>30</v>
      </c>
      <c r="M49" s="460">
        <f t="shared" si="0"/>
        <v>30</v>
      </c>
      <c r="N49" s="460">
        <f aca="true" t="shared" si="1" ref="N49:N57">IF(M49&gt;0,L49/M49*100,IF(L49=0,100,120))</f>
        <v>100</v>
      </c>
      <c r="O49" s="455" t="s">
        <v>118</v>
      </c>
      <c r="P49" s="504">
        <f>IF(N49&gt;120,0.75,IF(N49&lt;=120,IF(N49&lt;=80,0.25,0.5)))</f>
        <v>0.5</v>
      </c>
      <c r="Q49" s="254"/>
      <c r="R49" s="250">
        <f aca="true" t="shared" si="2" ref="R49:S51">R19</f>
        <v>29.55</v>
      </c>
      <c r="S49" s="250">
        <f t="shared" si="2"/>
        <v>29.55</v>
      </c>
      <c r="T49" s="250">
        <f>IF(S49&gt;0,R49/S49*100,IF(R49=0,100,120))</f>
        <v>100</v>
      </c>
      <c r="U49" s="248" t="s">
        <v>118</v>
      </c>
      <c r="V49" s="253">
        <f>IF(T49&gt;120,0.75,IF(T49&lt;=120,IF(T49&lt;=80,0.25,0.5)))</f>
        <v>0.5</v>
      </c>
      <c r="W49" s="255"/>
      <c r="X49" s="250">
        <f aca="true" t="shared" si="3" ref="X49:Y51">X19</f>
        <v>29.993249999999996</v>
      </c>
      <c r="Y49" s="250">
        <f t="shared" si="3"/>
        <v>29.993249999999996</v>
      </c>
      <c r="Z49" s="250">
        <f>IF(Y49&gt;0,X49/Y49*100,IF(X49=0,100,120))</f>
        <v>100</v>
      </c>
      <c r="AA49" s="248" t="s">
        <v>118</v>
      </c>
      <c r="AB49" s="253">
        <f>IF(Z49&gt;120,0.75,IF(Z49&lt;=120,IF(Z49&lt;=80,0.25,0.5)))</f>
        <v>0.5</v>
      </c>
      <c r="AC49" s="229"/>
      <c r="AD49" s="250">
        <f aca="true" t="shared" si="4" ref="AD49:AE51">AD19</f>
        <v>30.44314874999999</v>
      </c>
      <c r="AE49" s="250">
        <f t="shared" si="4"/>
        <v>30.44314874999999</v>
      </c>
      <c r="AF49" s="250">
        <f>IF(AE49&gt;0,AD49/AE49*100,IF(AD49=0,100,120))</f>
        <v>100</v>
      </c>
      <c r="AG49" s="248" t="s">
        <v>118</v>
      </c>
      <c r="AH49" s="253">
        <f>IF(AF49&gt;120,0.75,IF(AF49&lt;=120,IF(AF49&lt;=80,0.25,0.5)))</f>
        <v>0.5</v>
      </c>
      <c r="AI49" s="229"/>
      <c r="AJ49" s="250">
        <f aca="true" t="shared" si="5" ref="AJ49:AK51">AJ19</f>
        <v>30.899795981249987</v>
      </c>
      <c r="AK49" s="250">
        <f t="shared" si="5"/>
        <v>30.899795981249987</v>
      </c>
      <c r="AL49" s="250">
        <f>IF(AK49&gt;0,AJ49/AK49*100,IF(AJ49=0,100,120))</f>
        <v>100</v>
      </c>
      <c r="AM49" s="248" t="s">
        <v>118</v>
      </c>
      <c r="AN49" s="253">
        <f>IF(AL49&gt;120,0.75,IF(AL49&lt;=120,IF(AL49&lt;=80,0.25,0.5)))</f>
        <v>0.5</v>
      </c>
      <c r="AO49" s="229"/>
      <c r="AP49" s="229"/>
      <c r="AQ49" s="229"/>
      <c r="AR49" s="254"/>
      <c r="AS49" s="250">
        <f aca="true" t="shared" si="6" ref="AS49:AT51">AS19</f>
        <v>0</v>
      </c>
      <c r="AT49" s="250">
        <f t="shared" si="6"/>
        <v>0</v>
      </c>
      <c r="AU49" s="250">
        <f>IF(AT49&gt;0,AS49/AT49*100,IF(AS49=0,100,120))</f>
        <v>100</v>
      </c>
      <c r="AV49" s="248" t="s">
        <v>118</v>
      </c>
      <c r="AW49" s="253">
        <f>IF(AU49&gt;120,0.75,IF(AU49&lt;=120,IF(AU49&lt;=80,0.25,0.5)))</f>
        <v>0.5</v>
      </c>
      <c r="AX49" s="255"/>
      <c r="AY49" s="250">
        <f aca="true" t="shared" si="7" ref="AY49:AZ51">AY19</f>
        <v>0</v>
      </c>
      <c r="AZ49" s="250">
        <f t="shared" si="7"/>
        <v>0</v>
      </c>
      <c r="BA49" s="250">
        <f>IF(AZ49&gt;0,AY49/AZ49*100,IF(AY49=0,100,120))</f>
        <v>100</v>
      </c>
      <c r="BB49" s="248" t="s">
        <v>118</v>
      </c>
      <c r="BC49" s="253">
        <f>IF(BA49&gt;120,0.75,IF(BA49&lt;=120,IF(BA49&lt;=80,0.25,0.5)))</f>
        <v>0.5</v>
      </c>
      <c r="BE49" s="162">
        <f aca="true" t="shared" si="8" ref="BE49:BF51">BE19</f>
        <v>0</v>
      </c>
      <c r="BF49" s="162">
        <f t="shared" si="8"/>
        <v>0</v>
      </c>
      <c r="BG49" s="175">
        <f>IF(BF49&gt;0,BE49/BF49*100,IF(BE49=0,100,120))</f>
        <v>100</v>
      </c>
      <c r="BH49" s="163" t="s">
        <v>118</v>
      </c>
      <c r="BI49" s="148">
        <f>IF(BG49&gt;120,0.75,IF(BG49&lt;=120,IF(BG49&lt;=80,0.25,0.5)))</f>
        <v>0.5</v>
      </c>
      <c r="BK49" s="162">
        <f aca="true" t="shared" si="9" ref="BK49:BL51">BK19</f>
        <v>0</v>
      </c>
      <c r="BL49" s="162">
        <f t="shared" si="9"/>
        <v>0</v>
      </c>
      <c r="BM49" s="175">
        <f>IF(BL49&gt;0,BK49/BL49*100,IF(BK49=0,100,120))</f>
        <v>100</v>
      </c>
      <c r="BN49" s="163" t="s">
        <v>118</v>
      </c>
      <c r="BO49" s="148">
        <f>IF(BM49&gt;120,0.75,IF(BM49&lt;=120,IF(BM49&lt;=80,0.25,0.5)))</f>
        <v>0.5</v>
      </c>
    </row>
    <row r="50" spans="7:67" ht="11.25">
      <c r="G50" s="492" t="s">
        <v>289</v>
      </c>
      <c r="H50" s="508" t="s">
        <v>290</v>
      </c>
      <c r="I50" s="169"/>
      <c r="J50" s="232"/>
      <c r="K50" s="169"/>
      <c r="L50" s="460">
        <f t="shared" si="0"/>
        <v>30</v>
      </c>
      <c r="M50" s="460">
        <f t="shared" si="0"/>
        <v>30</v>
      </c>
      <c r="N50" s="460">
        <f t="shared" si="1"/>
        <v>100</v>
      </c>
      <c r="O50" s="455" t="s">
        <v>118</v>
      </c>
      <c r="P50" s="504">
        <f>IF(N50&gt;120,0.75,IF(N50&lt;=120,IF(N50&lt;=80,0.25,0.5)))</f>
        <v>0.5</v>
      </c>
      <c r="Q50" s="254"/>
      <c r="R50" s="250">
        <f t="shared" si="2"/>
        <v>29.55</v>
      </c>
      <c r="S50" s="250">
        <f t="shared" si="2"/>
        <v>29.55</v>
      </c>
      <c r="T50" s="250">
        <f>IF(S50&gt;0,R50/S50*100,IF(R50=0,100,120))</f>
        <v>100</v>
      </c>
      <c r="U50" s="248" t="s">
        <v>118</v>
      </c>
      <c r="V50" s="253">
        <f>IF(T50&gt;120,0.75,IF(T50&lt;=120,IF(T50&lt;=80,0.25,0.5)))</f>
        <v>0.5</v>
      </c>
      <c r="W50" s="255"/>
      <c r="X50" s="250">
        <f t="shared" si="3"/>
        <v>29.993249999999996</v>
      </c>
      <c r="Y50" s="250">
        <f t="shared" si="3"/>
        <v>29.993249999999996</v>
      </c>
      <c r="Z50" s="250">
        <f>IF(Y50&gt;0,X50/Y50*100,IF(X50=0,100,120))</f>
        <v>100</v>
      </c>
      <c r="AA50" s="248" t="s">
        <v>118</v>
      </c>
      <c r="AB50" s="253">
        <f>IF(Z50&gt;120,0.75,IF(Z50&lt;=120,IF(Z50&lt;=80,0.25,0.5)))</f>
        <v>0.5</v>
      </c>
      <c r="AC50" s="229"/>
      <c r="AD50" s="250">
        <f t="shared" si="4"/>
        <v>30.44314874999999</v>
      </c>
      <c r="AE50" s="250">
        <f t="shared" si="4"/>
        <v>30.44314874999999</v>
      </c>
      <c r="AF50" s="250">
        <f>IF(AE50&gt;0,AD50/AE50*100,IF(AD50=0,100,120))</f>
        <v>100</v>
      </c>
      <c r="AG50" s="248" t="s">
        <v>118</v>
      </c>
      <c r="AH50" s="253">
        <f>IF(AF50&gt;120,0.75,IF(AF50&lt;=120,IF(AF50&lt;=80,0.25,0.5)))</f>
        <v>0.5</v>
      </c>
      <c r="AI50" s="229"/>
      <c r="AJ50" s="250">
        <f t="shared" si="5"/>
        <v>30.899795981249987</v>
      </c>
      <c r="AK50" s="250">
        <f t="shared" si="5"/>
        <v>30.899795981249987</v>
      </c>
      <c r="AL50" s="250">
        <f>IF(AK50&gt;0,AJ50/AK50*100,IF(AJ50=0,100,120))</f>
        <v>100</v>
      </c>
      <c r="AM50" s="248" t="s">
        <v>118</v>
      </c>
      <c r="AN50" s="253">
        <f>IF(AL50&gt;120,0.75,IF(AL50&lt;=120,IF(AL50&lt;=80,0.25,0.5)))</f>
        <v>0.5</v>
      </c>
      <c r="AO50" s="229"/>
      <c r="AP50" s="229"/>
      <c r="AQ50" s="229"/>
      <c r="AR50" s="254"/>
      <c r="AS50" s="250">
        <f t="shared" si="6"/>
        <v>0</v>
      </c>
      <c r="AT50" s="250">
        <f t="shared" si="6"/>
        <v>0</v>
      </c>
      <c r="AU50" s="250">
        <f>IF(AT50&gt;0,AS50/AT50*100,IF(AS50=0,100,120))</f>
        <v>100</v>
      </c>
      <c r="AV50" s="248" t="s">
        <v>118</v>
      </c>
      <c r="AW50" s="253">
        <f>IF(AU50&gt;120,0.75,IF(AU50&lt;=120,IF(AU50&lt;=80,0.25,0.5)))</f>
        <v>0.5</v>
      </c>
      <c r="AX50" s="255"/>
      <c r="AY50" s="250">
        <f t="shared" si="7"/>
        <v>0</v>
      </c>
      <c r="AZ50" s="250">
        <f t="shared" si="7"/>
        <v>0</v>
      </c>
      <c r="BA50" s="250">
        <f>IF(AZ50&gt;0,AY50/AZ50*100,IF(AY50=0,100,120))</f>
        <v>100</v>
      </c>
      <c r="BB50" s="248" t="s">
        <v>118</v>
      </c>
      <c r="BC50" s="253">
        <f>IF(BA50&gt;120,0.75,IF(BA50&lt;=120,IF(BA50&lt;=80,0.25,0.5)))</f>
        <v>0.5</v>
      </c>
      <c r="BE50" s="162">
        <f t="shared" si="8"/>
        <v>0</v>
      </c>
      <c r="BF50" s="162">
        <f t="shared" si="8"/>
        <v>0</v>
      </c>
      <c r="BG50" s="175">
        <f>IF(BF50&gt;0,BE50/BF50*100,IF(BE50=0,100,120))</f>
        <v>100</v>
      </c>
      <c r="BH50" s="163" t="s">
        <v>118</v>
      </c>
      <c r="BI50" s="148">
        <f>IF(BG50&gt;120,0.75,IF(BG50&lt;=120,IF(BG50&lt;=80,0.25,0.5)))</f>
        <v>0.5</v>
      </c>
      <c r="BK50" s="162">
        <f t="shared" si="9"/>
        <v>0</v>
      </c>
      <c r="BL50" s="162">
        <f t="shared" si="9"/>
        <v>0</v>
      </c>
      <c r="BM50" s="175">
        <f>IF(BL50&gt;0,BK50/BL50*100,IF(BK50=0,100,120))</f>
        <v>100</v>
      </c>
      <c r="BN50" s="163" t="s">
        <v>118</v>
      </c>
      <c r="BO50" s="148">
        <f>IF(BM50&gt;120,0.75,IF(BM50&lt;=120,IF(BM50&lt;=80,0.25,0.5)))</f>
        <v>0.5</v>
      </c>
    </row>
    <row r="51" spans="7:67" ht="57">
      <c r="G51" s="492" t="s">
        <v>112</v>
      </c>
      <c r="H51" s="506" t="s">
        <v>291</v>
      </c>
      <c r="I51" s="168"/>
      <c r="J51" s="232"/>
      <c r="K51" s="169"/>
      <c r="L51" s="460">
        <f t="shared" si="0"/>
        <v>0</v>
      </c>
      <c r="M51" s="460">
        <f t="shared" si="0"/>
        <v>0</v>
      </c>
      <c r="N51" s="460">
        <f t="shared" si="1"/>
        <v>100</v>
      </c>
      <c r="O51" s="455" t="s">
        <v>118</v>
      </c>
      <c r="P51" s="504">
        <f>IF(N51&gt;120,0.75,IF(N51&lt;=120,IF(N51&lt;=80,0.25,0.5)))</f>
        <v>0.5</v>
      </c>
      <c r="Q51" s="254"/>
      <c r="R51" s="250">
        <f t="shared" si="2"/>
        <v>0</v>
      </c>
      <c r="S51" s="250">
        <f t="shared" si="2"/>
        <v>0</v>
      </c>
      <c r="T51" s="250">
        <f>IF(S51&gt;0,R51/S51*100,IF(R51=0,100,120))</f>
        <v>100</v>
      </c>
      <c r="U51" s="248" t="s">
        <v>118</v>
      </c>
      <c r="V51" s="253">
        <f>IF(T51&gt;120,0.75,IF(T51&lt;=120,IF(T51&lt;=80,0.25,0.5)))</f>
        <v>0.5</v>
      </c>
      <c r="W51" s="255"/>
      <c r="X51" s="250">
        <f t="shared" si="3"/>
        <v>0</v>
      </c>
      <c r="Y51" s="250">
        <f t="shared" si="3"/>
        <v>0</v>
      </c>
      <c r="Z51" s="250">
        <f>IF(Y51&gt;0,X51/Y51*100,IF(X51=0,100,120))</f>
        <v>100</v>
      </c>
      <c r="AA51" s="248" t="s">
        <v>118</v>
      </c>
      <c r="AB51" s="253">
        <f>IF(Z51&gt;120,0.75,IF(Z51&lt;=120,IF(Z51&lt;=80,0.25,0.5)))</f>
        <v>0.5</v>
      </c>
      <c r="AC51" s="229"/>
      <c r="AD51" s="250">
        <f t="shared" si="4"/>
        <v>0</v>
      </c>
      <c r="AE51" s="250">
        <f t="shared" si="4"/>
        <v>0</v>
      </c>
      <c r="AF51" s="250">
        <f>IF(AE51&gt;0,AD51/AE51*100,IF(AD51=0,100,120))</f>
        <v>100</v>
      </c>
      <c r="AG51" s="248" t="s">
        <v>118</v>
      </c>
      <c r="AH51" s="253">
        <f>IF(AF51&gt;120,0.75,IF(AF51&lt;=120,IF(AF51&lt;=80,0.25,0.5)))</f>
        <v>0.5</v>
      </c>
      <c r="AI51" s="229"/>
      <c r="AJ51" s="250">
        <f t="shared" si="5"/>
        <v>0</v>
      </c>
      <c r="AK51" s="250">
        <f t="shared" si="5"/>
        <v>0</v>
      </c>
      <c r="AL51" s="250">
        <f>IF(AK51&gt;0,AJ51/AK51*100,IF(AJ51=0,100,120))</f>
        <v>100</v>
      </c>
      <c r="AM51" s="248" t="s">
        <v>118</v>
      </c>
      <c r="AN51" s="253">
        <f>IF(AL51&gt;120,0.75,IF(AL51&lt;=120,IF(AL51&lt;=80,0.25,0.5)))</f>
        <v>0.5</v>
      </c>
      <c r="AO51" s="229"/>
      <c r="AP51" s="229"/>
      <c r="AQ51" s="229"/>
      <c r="AR51" s="254"/>
      <c r="AS51" s="250">
        <f t="shared" si="6"/>
        <v>0</v>
      </c>
      <c r="AT51" s="250">
        <f t="shared" si="6"/>
        <v>0</v>
      </c>
      <c r="AU51" s="250">
        <f>IF(AT51&gt;0,AS51/AT51*100,IF(AS51=0,100,120))</f>
        <v>100</v>
      </c>
      <c r="AV51" s="248" t="s">
        <v>118</v>
      </c>
      <c r="AW51" s="253">
        <f>IF(AU51&gt;120,0.75,IF(AU51&lt;=120,IF(AU51&lt;=80,0.25,0.5)))</f>
        <v>0.5</v>
      </c>
      <c r="AX51" s="255"/>
      <c r="AY51" s="250">
        <f t="shared" si="7"/>
        <v>0</v>
      </c>
      <c r="AZ51" s="250">
        <f t="shared" si="7"/>
        <v>0</v>
      </c>
      <c r="BA51" s="250">
        <f>IF(AZ51&gt;0,AY51/AZ51*100,IF(AY51=0,100,120))</f>
        <v>100</v>
      </c>
      <c r="BB51" s="248" t="s">
        <v>118</v>
      </c>
      <c r="BC51" s="253">
        <f>IF(BA51&gt;120,0.75,IF(BA51&lt;=120,IF(BA51&lt;=80,0.25,0.5)))</f>
        <v>0.5</v>
      </c>
      <c r="BE51" s="162">
        <f t="shared" si="8"/>
        <v>0</v>
      </c>
      <c r="BF51" s="162">
        <f t="shared" si="8"/>
        <v>0</v>
      </c>
      <c r="BG51" s="175">
        <f>IF(BF51&gt;0,BE51/BF51*100,IF(BE51=0,100,120))</f>
        <v>100</v>
      </c>
      <c r="BH51" s="163" t="s">
        <v>118</v>
      </c>
      <c r="BI51" s="148">
        <f>IF(BG51&gt;120,0.75,IF(BG51&lt;=120,IF(BG51&lt;=80,0.25,0.5)))</f>
        <v>0.5</v>
      </c>
      <c r="BK51" s="162">
        <f t="shared" si="9"/>
        <v>0</v>
      </c>
      <c r="BL51" s="162">
        <f t="shared" si="9"/>
        <v>0</v>
      </c>
      <c r="BM51" s="175">
        <f>IF(BL51&gt;0,BK51/BL51*100,IF(BK51=0,100,120))</f>
        <v>100</v>
      </c>
      <c r="BN51" s="163" t="s">
        <v>118</v>
      </c>
      <c r="BO51" s="148">
        <f>IF(BM51&gt;120,0.75,IF(BM51&lt;=120,IF(BM51&lt;=80,0.25,0.5)))</f>
        <v>0.5</v>
      </c>
    </row>
    <row r="52" spans="7:67" ht="22.5">
      <c r="G52" s="492" t="s">
        <v>81</v>
      </c>
      <c r="H52" s="507" t="s">
        <v>292</v>
      </c>
      <c r="I52" s="358"/>
      <c r="J52" s="232"/>
      <c r="K52" s="169"/>
      <c r="L52" s="455"/>
      <c r="M52" s="455"/>
      <c r="N52" s="455"/>
      <c r="O52" s="455" t="s">
        <v>118</v>
      </c>
      <c r="P52" s="504">
        <f>P53</f>
        <v>0.2</v>
      </c>
      <c r="Q52" s="254"/>
      <c r="R52" s="248"/>
      <c r="S52" s="248"/>
      <c r="T52" s="248"/>
      <c r="U52" s="248" t="s">
        <v>118</v>
      </c>
      <c r="V52" s="253">
        <f>V53</f>
        <v>0.2</v>
      </c>
      <c r="W52" s="255"/>
      <c r="X52" s="248"/>
      <c r="Y52" s="248"/>
      <c r="Z52" s="248"/>
      <c r="AA52" s="248" t="s">
        <v>118</v>
      </c>
      <c r="AB52" s="253">
        <f>AB53</f>
        <v>0.2</v>
      </c>
      <c r="AC52" s="229"/>
      <c r="AD52" s="248"/>
      <c r="AE52" s="248"/>
      <c r="AF52" s="248"/>
      <c r="AG52" s="248" t="s">
        <v>118</v>
      </c>
      <c r="AH52" s="253">
        <f>AH53</f>
        <v>0.2</v>
      </c>
      <c r="AI52" s="229"/>
      <c r="AJ52" s="248"/>
      <c r="AK52" s="248"/>
      <c r="AL52" s="248"/>
      <c r="AM52" s="248" t="s">
        <v>118</v>
      </c>
      <c r="AN52" s="253">
        <f>AN53</f>
        <v>0.2</v>
      </c>
      <c r="AO52" s="229"/>
      <c r="AP52" s="229"/>
      <c r="AQ52" s="229"/>
      <c r="AR52" s="254"/>
      <c r="AS52" s="248"/>
      <c r="AT52" s="248"/>
      <c r="AU52" s="248"/>
      <c r="AV52" s="248" t="s">
        <v>118</v>
      </c>
      <c r="AW52" s="253">
        <f>AW53</f>
        <v>0.2</v>
      </c>
      <c r="AX52" s="255"/>
      <c r="AY52" s="248"/>
      <c r="AZ52" s="248"/>
      <c r="BA52" s="248"/>
      <c r="BB52" s="248" t="s">
        <v>118</v>
      </c>
      <c r="BC52" s="253">
        <f>BC53</f>
        <v>0.2</v>
      </c>
      <c r="BE52" s="163"/>
      <c r="BF52" s="163"/>
      <c r="BG52" s="147"/>
      <c r="BH52" s="163" t="s">
        <v>118</v>
      </c>
      <c r="BI52" s="148">
        <f>BI53</f>
        <v>0.2</v>
      </c>
      <c r="BK52" s="163"/>
      <c r="BL52" s="163"/>
      <c r="BM52" s="147"/>
      <c r="BN52" s="163" t="s">
        <v>118</v>
      </c>
      <c r="BO52" s="148">
        <f>BO53</f>
        <v>0.2</v>
      </c>
    </row>
    <row r="53" spans="7:67" ht="90.75">
      <c r="G53" s="492" t="s">
        <v>136</v>
      </c>
      <c r="H53" s="506" t="s">
        <v>293</v>
      </c>
      <c r="I53" s="168"/>
      <c r="J53" s="232"/>
      <c r="K53" s="169"/>
      <c r="L53" s="460">
        <f>L24</f>
        <v>4</v>
      </c>
      <c r="M53" s="460">
        <f>M24</f>
        <v>0</v>
      </c>
      <c r="N53" s="460">
        <f t="shared" si="1"/>
        <v>120</v>
      </c>
      <c r="O53" s="455" t="s">
        <v>118</v>
      </c>
      <c r="P53" s="504">
        <f>IF(N53&gt;120,0.3,IF(N53&lt;=120,IF(N53&lt;=80,0.1,0.2)))</f>
        <v>0.2</v>
      </c>
      <c r="Q53" s="254"/>
      <c r="R53" s="250">
        <f>R24</f>
        <v>0</v>
      </c>
      <c r="S53" s="250">
        <f>S24</f>
        <v>0</v>
      </c>
      <c r="T53" s="250">
        <f>IF(S53&gt;0,R53/S53*100,IF(R53=0,100,120))</f>
        <v>100</v>
      </c>
      <c r="U53" s="248" t="s">
        <v>118</v>
      </c>
      <c r="V53" s="253">
        <f>IF(T53&gt;120,0.3,IF(T53&lt;=120,IF(T53&lt;=80,0.1,0.2)))</f>
        <v>0.2</v>
      </c>
      <c r="W53" s="255"/>
      <c r="X53" s="250">
        <f>X24</f>
        <v>0</v>
      </c>
      <c r="Y53" s="250">
        <f>Y24</f>
        <v>0</v>
      </c>
      <c r="Z53" s="250">
        <f>IF(Y53&gt;0,X53/Y53*100,IF(X53=0,100,120))</f>
        <v>100</v>
      </c>
      <c r="AA53" s="248" t="s">
        <v>118</v>
      </c>
      <c r="AB53" s="253">
        <f>IF(Z53&gt;120,0.3,IF(Z53&lt;=120,IF(Z53&lt;=80,0.1,0.2)))</f>
        <v>0.2</v>
      </c>
      <c r="AC53" s="229"/>
      <c r="AD53" s="250">
        <f>AD24</f>
        <v>0</v>
      </c>
      <c r="AE53" s="250">
        <f>AE24</f>
        <v>0</v>
      </c>
      <c r="AF53" s="250">
        <f>IF(AE53&gt;0,AD53/AE53*100,IF(AD53=0,100,120))</f>
        <v>100</v>
      </c>
      <c r="AG53" s="248" t="s">
        <v>118</v>
      </c>
      <c r="AH53" s="253">
        <f>IF(AF53&gt;120,0.3,IF(AF53&lt;=120,IF(AF53&lt;=80,0.1,0.2)))</f>
        <v>0.2</v>
      </c>
      <c r="AI53" s="229"/>
      <c r="AJ53" s="250">
        <f>AJ24</f>
        <v>0</v>
      </c>
      <c r="AK53" s="250">
        <f>AK24</f>
        <v>0</v>
      </c>
      <c r="AL53" s="250">
        <f>IF(AK53&gt;0,AJ53/AK53*100,IF(AJ53=0,100,120))</f>
        <v>100</v>
      </c>
      <c r="AM53" s="248" t="s">
        <v>118</v>
      </c>
      <c r="AN53" s="253">
        <f>IF(AL53&gt;120,0.3,IF(AL53&lt;=120,IF(AL53&lt;=80,0.1,0.2)))</f>
        <v>0.2</v>
      </c>
      <c r="AO53" s="229"/>
      <c r="AP53" s="229"/>
      <c r="AQ53" s="229"/>
      <c r="AR53" s="254"/>
      <c r="AS53" s="250">
        <f>AS24</f>
        <v>0</v>
      </c>
      <c r="AT53" s="250">
        <f>AT24</f>
        <v>0</v>
      </c>
      <c r="AU53" s="250">
        <f>IF(AT53&gt;0,AS53/AT53*100,IF(AS53=0,100,120))</f>
        <v>100</v>
      </c>
      <c r="AV53" s="248" t="s">
        <v>118</v>
      </c>
      <c r="AW53" s="253">
        <f>IF(AU53&gt;120,0.3,IF(AU53&lt;=120,IF(AU53&lt;=80,0.1,0.2)))</f>
        <v>0.2</v>
      </c>
      <c r="AX53" s="255"/>
      <c r="AY53" s="250">
        <f>AY24</f>
        <v>0</v>
      </c>
      <c r="AZ53" s="250">
        <f>AZ24</f>
        <v>0</v>
      </c>
      <c r="BA53" s="250">
        <f>IF(AZ53&gt;0,AY53/AZ53*100,IF(AY53=0,100,120))</f>
        <v>100</v>
      </c>
      <c r="BB53" s="248" t="s">
        <v>118</v>
      </c>
      <c r="BC53" s="253">
        <f>IF(BA53&gt;120,0.3,IF(BA53&lt;=120,IF(BA53&lt;=80,0.1,0.2)))</f>
        <v>0.2</v>
      </c>
      <c r="BE53" s="162">
        <f>BE24</f>
        <v>0</v>
      </c>
      <c r="BF53" s="162">
        <f>BF24</f>
        <v>0</v>
      </c>
      <c r="BG53" s="175">
        <f>IF(BF53&gt;0,BE53/BF53*100,IF(BE53=0,100,120))</f>
        <v>100</v>
      </c>
      <c r="BH53" s="163" t="s">
        <v>118</v>
      </c>
      <c r="BI53" s="148">
        <f>IF(BG53&gt;120,0.3,IF(BG53&lt;=120,IF(BG53&lt;=80,0.1,0.2)))</f>
        <v>0.2</v>
      </c>
      <c r="BK53" s="162">
        <f>BK24</f>
        <v>0</v>
      </c>
      <c r="BL53" s="162">
        <f>BL24</f>
        <v>0</v>
      </c>
      <c r="BM53" s="175">
        <f>IF(BL53&gt;0,BK53/BL53*100,IF(BK53=0,100,120))</f>
        <v>100</v>
      </c>
      <c r="BN53" s="163" t="s">
        <v>118</v>
      </c>
      <c r="BO53" s="148">
        <f>IF(BM53&gt;120,0.3,IF(BM53&lt;=120,IF(BM53&lt;=80,0.1,0.2)))</f>
        <v>0.2</v>
      </c>
    </row>
    <row r="54" spans="7:67" ht="22.5">
      <c r="G54" s="509" t="s">
        <v>124</v>
      </c>
      <c r="H54" s="510" t="s">
        <v>294</v>
      </c>
      <c r="I54" s="359"/>
      <c r="J54" s="232"/>
      <c r="K54" s="169"/>
      <c r="L54" s="455"/>
      <c r="M54" s="455"/>
      <c r="N54" s="455"/>
      <c r="O54" s="455" t="s">
        <v>118</v>
      </c>
      <c r="P54" s="504">
        <f>P55</f>
        <v>0.2</v>
      </c>
      <c r="Q54" s="254"/>
      <c r="R54" s="248"/>
      <c r="S54" s="248"/>
      <c r="T54" s="248"/>
      <c r="U54" s="248" t="s">
        <v>118</v>
      </c>
      <c r="V54" s="253">
        <f>V55</f>
        <v>0.2</v>
      </c>
      <c r="W54" s="255"/>
      <c r="X54" s="248"/>
      <c r="Y54" s="248"/>
      <c r="Z54" s="248"/>
      <c r="AA54" s="248" t="s">
        <v>118</v>
      </c>
      <c r="AB54" s="253">
        <f>AB55</f>
        <v>0.2</v>
      </c>
      <c r="AC54" s="229"/>
      <c r="AD54" s="248"/>
      <c r="AE54" s="248"/>
      <c r="AF54" s="248"/>
      <c r="AG54" s="248" t="s">
        <v>118</v>
      </c>
      <c r="AH54" s="253">
        <f>AH55</f>
        <v>0.2</v>
      </c>
      <c r="AI54" s="229"/>
      <c r="AJ54" s="248"/>
      <c r="AK54" s="248"/>
      <c r="AL54" s="248"/>
      <c r="AM54" s="248" t="s">
        <v>118</v>
      </c>
      <c r="AN54" s="253">
        <f>AN55</f>
        <v>0.2</v>
      </c>
      <c r="AO54" s="229"/>
      <c r="AP54" s="229"/>
      <c r="AQ54" s="229"/>
      <c r="AR54" s="254"/>
      <c r="AS54" s="248"/>
      <c r="AT54" s="248"/>
      <c r="AU54" s="248"/>
      <c r="AV54" s="248" t="s">
        <v>118</v>
      </c>
      <c r="AW54" s="253">
        <f>AW55</f>
        <v>0.2</v>
      </c>
      <c r="AX54" s="255"/>
      <c r="AY54" s="248"/>
      <c r="AZ54" s="248"/>
      <c r="BA54" s="248"/>
      <c r="BB54" s="248" t="s">
        <v>118</v>
      </c>
      <c r="BC54" s="253">
        <f>BC55</f>
        <v>0.2</v>
      </c>
      <c r="BE54" s="163"/>
      <c r="BF54" s="163"/>
      <c r="BG54" s="147"/>
      <c r="BH54" s="163" t="s">
        <v>118</v>
      </c>
      <c r="BI54" s="148">
        <f>BI55</f>
        <v>0.2</v>
      </c>
      <c r="BK54" s="163"/>
      <c r="BL54" s="163"/>
      <c r="BM54" s="147"/>
      <c r="BN54" s="163" t="s">
        <v>118</v>
      </c>
      <c r="BO54" s="148">
        <f>BO55</f>
        <v>0.2</v>
      </c>
    </row>
    <row r="55" spans="7:67" ht="57">
      <c r="G55" s="492" t="s">
        <v>135</v>
      </c>
      <c r="H55" s="508" t="s">
        <v>295</v>
      </c>
      <c r="I55" s="169"/>
      <c r="J55" s="232"/>
      <c r="K55" s="169"/>
      <c r="L55" s="460">
        <f>L27</f>
        <v>0</v>
      </c>
      <c r="M55" s="460">
        <f>M27</f>
        <v>0</v>
      </c>
      <c r="N55" s="460">
        <f t="shared" si="1"/>
        <v>100</v>
      </c>
      <c r="O55" s="455" t="s">
        <v>118</v>
      </c>
      <c r="P55" s="504">
        <f>IF(N55&gt;120,0.3,IF(N55&lt;=120,IF(N55&lt;=80,0.1,0.2)))</f>
        <v>0.2</v>
      </c>
      <c r="Q55" s="254"/>
      <c r="R55" s="250">
        <f>R27</f>
        <v>0</v>
      </c>
      <c r="S55" s="250">
        <f>S27</f>
        <v>0</v>
      </c>
      <c r="T55" s="250">
        <f>IF(S55&gt;0,R55/S55*100,IF(R55=0,100,120))</f>
        <v>100</v>
      </c>
      <c r="U55" s="248" t="s">
        <v>118</v>
      </c>
      <c r="V55" s="253">
        <f>IF(T55&gt;120,0.3,IF(T55&lt;=120,IF(T55&lt;=80,0.1,0.2)))</f>
        <v>0.2</v>
      </c>
      <c r="W55" s="255"/>
      <c r="X55" s="250">
        <f>X27</f>
        <v>0</v>
      </c>
      <c r="Y55" s="250">
        <f>Y27</f>
        <v>0</v>
      </c>
      <c r="Z55" s="250">
        <f>IF(Y55&gt;0,X55/Y55*100,IF(X55=0,100,120))</f>
        <v>100</v>
      </c>
      <c r="AA55" s="248" t="s">
        <v>118</v>
      </c>
      <c r="AB55" s="253">
        <f>IF(Z55&gt;120,0.3,IF(Z55&lt;=120,IF(Z55&lt;=80,0.1,0.2)))</f>
        <v>0.2</v>
      </c>
      <c r="AC55" s="229"/>
      <c r="AD55" s="250">
        <f>AD27</f>
        <v>0</v>
      </c>
      <c r="AE55" s="250">
        <f>AE27</f>
        <v>0</v>
      </c>
      <c r="AF55" s="250">
        <f>IF(AE55&gt;0,AD55/AE55*100,IF(AD55=0,100,120))</f>
        <v>100</v>
      </c>
      <c r="AG55" s="248" t="s">
        <v>118</v>
      </c>
      <c r="AH55" s="253">
        <f>IF(AF55&gt;120,0.3,IF(AF55&lt;=120,IF(AF55&lt;=80,0.1,0.2)))</f>
        <v>0.2</v>
      </c>
      <c r="AI55" s="229"/>
      <c r="AJ55" s="250">
        <f>AJ27</f>
        <v>0</v>
      </c>
      <c r="AK55" s="250">
        <f>AK27</f>
        <v>0</v>
      </c>
      <c r="AL55" s="250">
        <f>IF(AK55&gt;0,AJ55/AK55*100,IF(AJ55=0,100,120))</f>
        <v>100</v>
      </c>
      <c r="AM55" s="248" t="s">
        <v>118</v>
      </c>
      <c r="AN55" s="253">
        <f>IF(AL55&gt;120,0.3,IF(AL55&lt;=120,IF(AL55&lt;=80,0.1,0.2)))</f>
        <v>0.2</v>
      </c>
      <c r="AO55" s="229"/>
      <c r="AP55" s="229"/>
      <c r="AQ55" s="229"/>
      <c r="AR55" s="254"/>
      <c r="AS55" s="250">
        <f>AS27</f>
        <v>0</v>
      </c>
      <c r="AT55" s="250">
        <f>AT27</f>
        <v>0</v>
      </c>
      <c r="AU55" s="250">
        <f>IF(AT55&gt;0,AS55/AT55*100,IF(AS55=0,100,120))</f>
        <v>100</v>
      </c>
      <c r="AV55" s="248" t="s">
        <v>118</v>
      </c>
      <c r="AW55" s="253">
        <f>IF(AU55&gt;120,0.3,IF(AU55&lt;=120,IF(AU55&lt;=80,0.1,0.2)))</f>
        <v>0.2</v>
      </c>
      <c r="AX55" s="255"/>
      <c r="AY55" s="250">
        <f>AY27</f>
        <v>0</v>
      </c>
      <c r="AZ55" s="250">
        <f>AZ27</f>
        <v>0</v>
      </c>
      <c r="BA55" s="250">
        <f>IF(AZ55&gt;0,AY55/AZ55*100,IF(AY55=0,100,120))</f>
        <v>100</v>
      </c>
      <c r="BB55" s="248" t="s">
        <v>118</v>
      </c>
      <c r="BC55" s="253">
        <f>IF(BA55&gt;120,0.3,IF(BA55&lt;=120,IF(BA55&lt;=80,0.1,0.2)))</f>
        <v>0.2</v>
      </c>
      <c r="BE55" s="162">
        <f>BE27</f>
        <v>0</v>
      </c>
      <c r="BF55" s="162">
        <f>BF27</f>
        <v>0</v>
      </c>
      <c r="BG55" s="175">
        <f>IF(BF55&gt;0,BE55/BF55*100,IF(BE55=0,100,120))</f>
        <v>100</v>
      </c>
      <c r="BH55" s="163" t="s">
        <v>118</v>
      </c>
      <c r="BI55" s="148">
        <f>IF(BG55&gt;120,0.3,IF(BG55&lt;=120,IF(BG55&lt;=80,0.1,0.2)))</f>
        <v>0.2</v>
      </c>
      <c r="BK55" s="162">
        <f>BK27</f>
        <v>0</v>
      </c>
      <c r="BL55" s="162">
        <f>BL27</f>
        <v>0</v>
      </c>
      <c r="BM55" s="175">
        <f>IF(BL55&gt;0,BK55/BL55*100,IF(BK55=0,100,120))</f>
        <v>100</v>
      </c>
      <c r="BN55" s="163" t="s">
        <v>118</v>
      </c>
      <c r="BO55" s="148">
        <f>IF(BM55&gt;120,0.3,IF(BM55&lt;=120,IF(BM55&lt;=80,0.1,0.2)))</f>
        <v>0.2</v>
      </c>
    </row>
    <row r="56" spans="7:67" ht="22.5">
      <c r="G56" s="492" t="s">
        <v>123</v>
      </c>
      <c r="H56" s="507" t="s">
        <v>167</v>
      </c>
      <c r="I56" s="358"/>
      <c r="J56" s="232"/>
      <c r="K56" s="169"/>
      <c r="L56" s="455"/>
      <c r="M56" s="455"/>
      <c r="N56" s="455"/>
      <c r="O56" s="455" t="s">
        <v>118</v>
      </c>
      <c r="P56" s="504">
        <f>P57</f>
        <v>0.25</v>
      </c>
      <c r="Q56" s="254"/>
      <c r="R56" s="248"/>
      <c r="S56" s="248"/>
      <c r="T56" s="248"/>
      <c r="U56" s="248" t="s">
        <v>118</v>
      </c>
      <c r="V56" s="253">
        <f>V57</f>
        <v>0.5</v>
      </c>
      <c r="W56" s="255"/>
      <c r="X56" s="248"/>
      <c r="Y56" s="248"/>
      <c r="Z56" s="248"/>
      <c r="AA56" s="248" t="s">
        <v>118</v>
      </c>
      <c r="AB56" s="253">
        <f>AB57</f>
        <v>0.5</v>
      </c>
      <c r="AC56" s="229"/>
      <c r="AD56" s="248"/>
      <c r="AE56" s="248"/>
      <c r="AF56" s="248"/>
      <c r="AG56" s="248" t="s">
        <v>118</v>
      </c>
      <c r="AH56" s="253">
        <f>AH57</f>
        <v>0.5</v>
      </c>
      <c r="AI56" s="229"/>
      <c r="AJ56" s="248"/>
      <c r="AK56" s="248"/>
      <c r="AL56" s="248"/>
      <c r="AM56" s="248" t="s">
        <v>118</v>
      </c>
      <c r="AN56" s="253">
        <f>AN57</f>
        <v>0.5</v>
      </c>
      <c r="AO56" s="229"/>
      <c r="AP56" s="229"/>
      <c r="AQ56" s="229"/>
      <c r="AR56" s="254"/>
      <c r="AS56" s="248"/>
      <c r="AT56" s="248"/>
      <c r="AU56" s="248"/>
      <c r="AV56" s="248" t="s">
        <v>118</v>
      </c>
      <c r="AW56" s="253">
        <f>AW57</f>
        <v>0.5</v>
      </c>
      <c r="AX56" s="255"/>
      <c r="AY56" s="248"/>
      <c r="AZ56" s="248"/>
      <c r="BA56" s="248"/>
      <c r="BB56" s="248" t="s">
        <v>118</v>
      </c>
      <c r="BC56" s="253">
        <f>BC57</f>
        <v>0.5</v>
      </c>
      <c r="BE56" s="163"/>
      <c r="BF56" s="163"/>
      <c r="BG56" s="147"/>
      <c r="BH56" s="163" t="s">
        <v>118</v>
      </c>
      <c r="BI56" s="148">
        <f>BI57</f>
        <v>0.5</v>
      </c>
      <c r="BK56" s="163"/>
      <c r="BL56" s="163"/>
      <c r="BM56" s="147"/>
      <c r="BN56" s="163" t="s">
        <v>118</v>
      </c>
      <c r="BO56" s="148">
        <f>BO57</f>
        <v>0.5</v>
      </c>
    </row>
    <row r="57" spans="7:67" ht="33.75">
      <c r="G57" s="492" t="s">
        <v>134</v>
      </c>
      <c r="H57" s="508" t="s">
        <v>296</v>
      </c>
      <c r="I57" s="169"/>
      <c r="J57" s="232"/>
      <c r="K57" s="169"/>
      <c r="L57" s="460">
        <f>L29</f>
        <v>96</v>
      </c>
      <c r="M57" s="460">
        <f>M29</f>
        <v>209</v>
      </c>
      <c r="N57" s="460">
        <f t="shared" si="1"/>
        <v>45.933014354066984</v>
      </c>
      <c r="O57" s="455" t="s">
        <v>118</v>
      </c>
      <c r="P57" s="504">
        <f>IF(N57&gt;120,0.75,IF(N57&lt;=120,IF(N57&lt;=80,0.25,0.5)))</f>
        <v>0.25</v>
      </c>
      <c r="Q57" s="254"/>
      <c r="R57" s="250">
        <f>R29</f>
        <v>205.865</v>
      </c>
      <c r="S57" s="250">
        <f>S29</f>
        <v>205.865</v>
      </c>
      <c r="T57" s="250">
        <f>IF(S57&gt;0,R57/S57*100,IF(R57=0,100,120))</f>
        <v>100</v>
      </c>
      <c r="U57" s="248" t="s">
        <v>118</v>
      </c>
      <c r="V57" s="253">
        <f>IF(T57&gt;120,0.75,IF(T57&lt;=120,IF(T57&lt;=80,0.25,0.5)))</f>
        <v>0.5</v>
      </c>
      <c r="W57" s="255"/>
      <c r="X57" s="250">
        <f>X29</f>
        <v>208.95297499999998</v>
      </c>
      <c r="Y57" s="250">
        <f>Y29</f>
        <v>208.95297499999998</v>
      </c>
      <c r="Z57" s="250">
        <f>IF(Y57&gt;0,X57/Y57*100,IF(X57=0,100,120))</f>
        <v>100</v>
      </c>
      <c r="AA57" s="248" t="s">
        <v>118</v>
      </c>
      <c r="AB57" s="253">
        <f>IF(Z57&gt;120,0.75,IF(Z57&lt;=120,IF(Z57&lt;=80,0.25,0.5)))</f>
        <v>0.5</v>
      </c>
      <c r="AC57" s="229"/>
      <c r="AD57" s="250">
        <f>AD29</f>
        <v>212.08726962499995</v>
      </c>
      <c r="AE57" s="250">
        <f>AE29</f>
        <v>212.08726962499995</v>
      </c>
      <c r="AF57" s="250">
        <f>IF(AE57&gt;0,AD57/AE57*100,IF(AD57=0,100,120))</f>
        <v>100</v>
      </c>
      <c r="AG57" s="248" t="s">
        <v>118</v>
      </c>
      <c r="AH57" s="253">
        <f>IF(AF57&gt;120,0.75,IF(AF57&lt;=120,IF(AF57&lt;=80,0.25,0.5)))</f>
        <v>0.5</v>
      </c>
      <c r="AI57" s="229"/>
      <c r="AJ57" s="250">
        <f>AJ29</f>
        <v>215.26857866937493</v>
      </c>
      <c r="AK57" s="250">
        <f>AK29</f>
        <v>215.26857866937493</v>
      </c>
      <c r="AL57" s="250">
        <f>IF(AK57&gt;0,AJ57/AK57*100,IF(AJ57=0,100,120))</f>
        <v>100</v>
      </c>
      <c r="AM57" s="248" t="s">
        <v>118</v>
      </c>
      <c r="AN57" s="253">
        <f>IF(AL57&gt;120,0.75,IF(AL57&lt;=120,IF(AL57&lt;=80,0.25,0.5)))</f>
        <v>0.5</v>
      </c>
      <c r="AO57" s="229"/>
      <c r="AP57" s="229"/>
      <c r="AQ57" s="229"/>
      <c r="AR57" s="254"/>
      <c r="AS57" s="250">
        <f>AS29</f>
        <v>0</v>
      </c>
      <c r="AT57" s="250">
        <f>AT29</f>
        <v>0</v>
      </c>
      <c r="AU57" s="250">
        <f>IF(AT57&gt;0,AS57/AT57*100,IF(AS57=0,100,120))</f>
        <v>100</v>
      </c>
      <c r="AV57" s="248" t="s">
        <v>118</v>
      </c>
      <c r="AW57" s="253">
        <f>IF(AU57&gt;120,0.75,IF(AU57&lt;=120,IF(AU57&lt;=80,0.25,0.5)))</f>
        <v>0.5</v>
      </c>
      <c r="AX57" s="255"/>
      <c r="AY57" s="250">
        <f>AY29</f>
        <v>0</v>
      </c>
      <c r="AZ57" s="250">
        <f>AZ29</f>
        <v>0</v>
      </c>
      <c r="BA57" s="250">
        <f>IF(AZ57&gt;0,AY57/AZ57*100,IF(AY57=0,100,120))</f>
        <v>100</v>
      </c>
      <c r="BB57" s="248" t="s">
        <v>118</v>
      </c>
      <c r="BC57" s="253">
        <f>IF(BA57&gt;120,0.75,IF(BA57&lt;=120,IF(BA57&lt;=80,0.25,0.5)))</f>
        <v>0.5</v>
      </c>
      <c r="BE57" s="162">
        <f>BE29</f>
        <v>0</v>
      </c>
      <c r="BF57" s="162">
        <f>BF29</f>
        <v>0</v>
      </c>
      <c r="BG57" s="175">
        <f>IF(BF57&gt;0,BE57/BF57*100,IF(BE57=0,100,120))</f>
        <v>100</v>
      </c>
      <c r="BH57" s="163" t="s">
        <v>118</v>
      </c>
      <c r="BI57" s="148">
        <f>IF(BG57&gt;120,0.75,IF(BG57&lt;=120,IF(BG57&lt;=80,0.25,0.5)))</f>
        <v>0.5</v>
      </c>
      <c r="BK57" s="162">
        <f>BK29</f>
        <v>0</v>
      </c>
      <c r="BL57" s="162">
        <f>BL29</f>
        <v>0</v>
      </c>
      <c r="BM57" s="175">
        <f>IF(BL57&gt;0,BK57/BL57*100,IF(BK57=0,100,120))</f>
        <v>100</v>
      </c>
      <c r="BN57" s="163" t="s">
        <v>118</v>
      </c>
      <c r="BO57" s="148">
        <f>IF(BM57&gt;120,0.75,IF(BM57&lt;=120,IF(BM57&lt;=80,0.25,0.5)))</f>
        <v>0.5</v>
      </c>
    </row>
    <row r="58" spans="7:67" ht="22.5">
      <c r="G58" s="492" t="s">
        <v>122</v>
      </c>
      <c r="H58" s="507" t="s">
        <v>297</v>
      </c>
      <c r="I58" s="358"/>
      <c r="J58" s="232"/>
      <c r="K58" s="169"/>
      <c r="L58" s="455"/>
      <c r="M58" s="455"/>
      <c r="N58" s="455"/>
      <c r="O58" s="455" t="s">
        <v>118</v>
      </c>
      <c r="P58" s="504">
        <f>AVERAGE(P59,P60)</f>
        <v>0.375</v>
      </c>
      <c r="Q58" s="254"/>
      <c r="R58" s="248"/>
      <c r="S58" s="248"/>
      <c r="T58" s="248"/>
      <c r="U58" s="248" t="s">
        <v>118</v>
      </c>
      <c r="V58" s="253">
        <f>AVERAGE(V59,V60)</f>
        <v>0.5</v>
      </c>
      <c r="W58" s="255"/>
      <c r="X58" s="248"/>
      <c r="Y58" s="248"/>
      <c r="Z58" s="248"/>
      <c r="AA58" s="248" t="s">
        <v>118</v>
      </c>
      <c r="AB58" s="253">
        <f>AVERAGE(AB59,AB60)</f>
        <v>0.5</v>
      </c>
      <c r="AC58" s="229"/>
      <c r="AD58" s="248"/>
      <c r="AE58" s="248"/>
      <c r="AF58" s="248"/>
      <c r="AG58" s="248" t="s">
        <v>118</v>
      </c>
      <c r="AH58" s="253">
        <f>AVERAGE(AH59,AH60)</f>
        <v>0.5</v>
      </c>
      <c r="AI58" s="229"/>
      <c r="AJ58" s="248"/>
      <c r="AK58" s="248"/>
      <c r="AL58" s="248"/>
      <c r="AM58" s="248" t="s">
        <v>118</v>
      </c>
      <c r="AN58" s="253">
        <f>AVERAGE(AN59,AN60)</f>
        <v>0.5</v>
      </c>
      <c r="AO58" s="229"/>
      <c r="AP58" s="229"/>
      <c r="AQ58" s="229"/>
      <c r="AR58" s="254"/>
      <c r="AS58" s="248"/>
      <c r="AT58" s="248"/>
      <c r="AU58" s="248"/>
      <c r="AV58" s="248" t="s">
        <v>118</v>
      </c>
      <c r="AW58" s="253">
        <f>AVERAGE(AW59,AW60)</f>
        <v>0.5</v>
      </c>
      <c r="AX58" s="255"/>
      <c r="AY58" s="248"/>
      <c r="AZ58" s="248"/>
      <c r="BA58" s="248"/>
      <c r="BB58" s="248" t="s">
        <v>118</v>
      </c>
      <c r="BC58" s="253">
        <f>AVERAGE(BC59,BC60)</f>
        <v>0.5</v>
      </c>
      <c r="BE58" s="163"/>
      <c r="BF58" s="163"/>
      <c r="BG58" s="147"/>
      <c r="BH58" s="163" t="s">
        <v>118</v>
      </c>
      <c r="BI58" s="148">
        <f>AVERAGE(BI59,BI60)</f>
        <v>0.5</v>
      </c>
      <c r="BK58" s="163"/>
      <c r="BL58" s="163"/>
      <c r="BM58" s="147"/>
      <c r="BN58" s="163" t="s">
        <v>118</v>
      </c>
      <c r="BO58" s="148">
        <f>AVERAGE(BO59,BO60)</f>
        <v>0.5</v>
      </c>
    </row>
    <row r="59" spans="7:67" ht="33.75">
      <c r="G59" s="492" t="s">
        <v>129</v>
      </c>
      <c r="H59" s="506" t="s">
        <v>168</v>
      </c>
      <c r="I59" s="168"/>
      <c r="J59" s="232"/>
      <c r="K59" s="168"/>
      <c r="L59" s="460">
        <f>L32</f>
        <v>1</v>
      </c>
      <c r="M59" s="460">
        <f>M32</f>
        <v>1</v>
      </c>
      <c r="N59" s="460">
        <f>IF(M59&gt;0,L59/M59*100,IF(L59=0,100,120))</f>
        <v>100</v>
      </c>
      <c r="O59" s="455" t="s">
        <v>118</v>
      </c>
      <c r="P59" s="504">
        <f>IF(N59&gt;120,0.75,IF(N59&lt;=120,IF(N59&lt;=80,0.25,0.5)))</f>
        <v>0.5</v>
      </c>
      <c r="Q59" s="254"/>
      <c r="R59" s="250">
        <f>R32</f>
        <v>1</v>
      </c>
      <c r="S59" s="250">
        <f>S32</f>
        <v>1</v>
      </c>
      <c r="T59" s="250">
        <f>IF(S59&gt;0,R59/S59*100,IF(R59=0,100,120))</f>
        <v>100</v>
      </c>
      <c r="U59" s="248" t="s">
        <v>118</v>
      </c>
      <c r="V59" s="253">
        <f>IF(T59&gt;120,0.75,IF(T59&lt;=120,IF(T59&lt;=80,0.25,0.5)))</f>
        <v>0.5</v>
      </c>
      <c r="W59" s="255"/>
      <c r="X59" s="250">
        <f>X32</f>
        <v>1</v>
      </c>
      <c r="Y59" s="250">
        <f>Y32</f>
        <v>1</v>
      </c>
      <c r="Z59" s="250">
        <f>IF(Y59&gt;0,X59/Y59*100,IF(X59=0,100,120))</f>
        <v>100</v>
      </c>
      <c r="AA59" s="248" t="s">
        <v>118</v>
      </c>
      <c r="AB59" s="253">
        <f>IF(Z59&gt;120,0.75,IF(Z59&lt;=120,IF(Z59&lt;=80,0.25,0.5)))</f>
        <v>0.5</v>
      </c>
      <c r="AC59" s="229"/>
      <c r="AD59" s="250">
        <f>AD32</f>
        <v>1</v>
      </c>
      <c r="AE59" s="250">
        <f>AE32</f>
        <v>1</v>
      </c>
      <c r="AF59" s="250">
        <f>IF(AE59&gt;0,AD59/AE59*100,IF(AD59=0,100,120))</f>
        <v>100</v>
      </c>
      <c r="AG59" s="248" t="s">
        <v>118</v>
      </c>
      <c r="AH59" s="253">
        <f>IF(AF59&gt;120,0.75,IF(AF59&lt;=120,IF(AF59&lt;=80,0.25,0.5)))</f>
        <v>0.5</v>
      </c>
      <c r="AI59" s="229"/>
      <c r="AJ59" s="250">
        <f>AJ32</f>
        <v>1</v>
      </c>
      <c r="AK59" s="250">
        <f>AK32</f>
        <v>1</v>
      </c>
      <c r="AL59" s="250">
        <f>IF(AK59&gt;0,AJ59/AK59*100,IF(AJ59=0,100,120))</f>
        <v>100</v>
      </c>
      <c r="AM59" s="248" t="s">
        <v>118</v>
      </c>
      <c r="AN59" s="253">
        <f>IF(AL59&gt;120,0.75,IF(AL59&lt;=120,IF(AL59&lt;=80,0.25,0.5)))</f>
        <v>0.5</v>
      </c>
      <c r="AO59" s="229"/>
      <c r="AP59" s="229"/>
      <c r="AQ59" s="229"/>
      <c r="AR59" s="254"/>
      <c r="AS59" s="250">
        <f>AS32</f>
        <v>0</v>
      </c>
      <c r="AT59" s="250">
        <f>AT32</f>
        <v>0</v>
      </c>
      <c r="AU59" s="250">
        <f>IF(AT59&gt;0,AS59/AT59*100,IF(AS59=0,100,120))</f>
        <v>100</v>
      </c>
      <c r="AV59" s="248" t="s">
        <v>118</v>
      </c>
      <c r="AW59" s="253">
        <f>IF(AU59&gt;120,0.75,IF(AU59&lt;=120,IF(AU59&lt;=80,0.25,0.5)))</f>
        <v>0.5</v>
      </c>
      <c r="AX59" s="255"/>
      <c r="AY59" s="250">
        <f>AY32</f>
        <v>0</v>
      </c>
      <c r="AZ59" s="250">
        <f>AZ32</f>
        <v>0</v>
      </c>
      <c r="BA59" s="250">
        <f>IF(AZ59&gt;0,AY59/AZ59*100,IF(AY59=0,100,120))</f>
        <v>100</v>
      </c>
      <c r="BB59" s="248" t="s">
        <v>118</v>
      </c>
      <c r="BC59" s="253">
        <f>IF(BA59&gt;120,0.75,IF(BA59&lt;=120,IF(BA59&lt;=80,0.25,0.5)))</f>
        <v>0.5</v>
      </c>
      <c r="BE59" s="162">
        <f>BE32</f>
        <v>0</v>
      </c>
      <c r="BF59" s="162">
        <f>BF32</f>
        <v>0</v>
      </c>
      <c r="BG59" s="175">
        <f>IF(BF59&gt;0,BE59/BF59*100,IF(BE59=0,100,120))</f>
        <v>100</v>
      </c>
      <c r="BH59" s="163" t="s">
        <v>118</v>
      </c>
      <c r="BI59" s="148">
        <f>IF(BG59&gt;120,0.75,IF(BG59&lt;=120,IF(BG59&lt;=80,0.25,0.5)))</f>
        <v>0.5</v>
      </c>
      <c r="BK59" s="162">
        <f>BK32</f>
        <v>0</v>
      </c>
      <c r="BL59" s="162">
        <f>BL32</f>
        <v>0</v>
      </c>
      <c r="BM59" s="175">
        <f>IF(BL59&gt;0,BK59/BL59*100,IF(BK59=0,100,120))</f>
        <v>100</v>
      </c>
      <c r="BN59" s="163" t="s">
        <v>118</v>
      </c>
      <c r="BO59" s="148">
        <f>IF(BM59&gt;120,0.75,IF(BM59&lt;=120,IF(BM59&lt;=80,0.25,0.5)))</f>
        <v>0.5</v>
      </c>
    </row>
    <row r="60" spans="7:67" ht="57">
      <c r="G60" s="492" t="s">
        <v>128</v>
      </c>
      <c r="H60" s="506" t="s">
        <v>298</v>
      </c>
      <c r="I60" s="168"/>
      <c r="J60" s="232"/>
      <c r="K60" s="167"/>
      <c r="L60" s="460">
        <f>L33</f>
        <v>5</v>
      </c>
      <c r="M60" s="460">
        <f>M33</f>
        <v>60</v>
      </c>
      <c r="N60" s="460">
        <f>IF(M60&gt;0,L60/M60*100,IF(L60=0,100,120))</f>
        <v>8.333333333333332</v>
      </c>
      <c r="O60" s="455" t="s">
        <v>118</v>
      </c>
      <c r="P60" s="504">
        <f>IF(N60&gt;120,0.75,IF(N60&lt;=120,IF(N60&lt;=80,0.25,0.5)))</f>
        <v>0.25</v>
      </c>
      <c r="Q60" s="254"/>
      <c r="R60" s="250">
        <f>R33</f>
        <v>59.1</v>
      </c>
      <c r="S60" s="250">
        <f>S33</f>
        <v>59.1</v>
      </c>
      <c r="T60" s="250">
        <f>IF(S60&gt;0,R60/S60*100,IF(R60=0,100,120))</f>
        <v>100</v>
      </c>
      <c r="U60" s="248" t="s">
        <v>118</v>
      </c>
      <c r="V60" s="253">
        <f>IF(T60&gt;120,0.75,IF(T60&lt;=120,IF(T60&lt;=80,0.25,0.5)))</f>
        <v>0.5</v>
      </c>
      <c r="W60" s="255"/>
      <c r="X60" s="250">
        <f>X33</f>
        <v>59.98649999999999</v>
      </c>
      <c r="Y60" s="250">
        <f>Y33</f>
        <v>59.98649999999999</v>
      </c>
      <c r="Z60" s="250">
        <f>IF(Y60&gt;0,X60/Y60*100,IF(X60=0,100,120))</f>
        <v>100</v>
      </c>
      <c r="AA60" s="248" t="s">
        <v>118</v>
      </c>
      <c r="AB60" s="253">
        <f>IF(Z60&gt;120,0.75,IF(Z60&lt;=120,IF(Z60&lt;=80,0.25,0.5)))</f>
        <v>0.5</v>
      </c>
      <c r="AC60" s="229"/>
      <c r="AD60" s="250">
        <f>AD33</f>
        <v>60.88629749999998</v>
      </c>
      <c r="AE60" s="250">
        <f>AE33</f>
        <v>60.88629749999998</v>
      </c>
      <c r="AF60" s="250">
        <f>IF(AE60&gt;0,AD60/AE60*100,IF(AD60=0,100,120))</f>
        <v>100</v>
      </c>
      <c r="AG60" s="248" t="s">
        <v>118</v>
      </c>
      <c r="AH60" s="253">
        <f>IF(AF60&gt;120,0.75,IF(AF60&lt;=120,IF(AF60&lt;=80,0.25,0.5)))</f>
        <v>0.5</v>
      </c>
      <c r="AI60" s="229"/>
      <c r="AJ60" s="250">
        <f>AJ33</f>
        <v>61.799591962499974</v>
      </c>
      <c r="AK60" s="250">
        <f>AK33</f>
        <v>61.799591962499974</v>
      </c>
      <c r="AL60" s="250">
        <f>IF(AK60&gt;0,AJ60/AK60*100,IF(AJ60=0,100,120))</f>
        <v>100</v>
      </c>
      <c r="AM60" s="248" t="s">
        <v>118</v>
      </c>
      <c r="AN60" s="253">
        <f>IF(AL60&gt;120,0.75,IF(AL60&lt;=120,IF(AL60&lt;=80,0.25,0.5)))</f>
        <v>0.5</v>
      </c>
      <c r="AO60" s="229"/>
      <c r="AP60" s="229"/>
      <c r="AQ60" s="229"/>
      <c r="AR60" s="254"/>
      <c r="AS60" s="250">
        <f>AS33</f>
        <v>0</v>
      </c>
      <c r="AT60" s="250">
        <f>AT33</f>
        <v>0</v>
      </c>
      <c r="AU60" s="250">
        <f>IF(AT60&gt;0,AS60/AT60*100,IF(AS60=0,100,120))</f>
        <v>100</v>
      </c>
      <c r="AV60" s="248" t="s">
        <v>118</v>
      </c>
      <c r="AW60" s="253">
        <f>IF(AU60&gt;120,0.75,IF(AU60&lt;=120,IF(AU60&lt;=80,0.25,0.5)))</f>
        <v>0.5</v>
      </c>
      <c r="AX60" s="255"/>
      <c r="AY60" s="250">
        <f>AY33</f>
        <v>0</v>
      </c>
      <c r="AZ60" s="250">
        <f>AZ33</f>
        <v>0</v>
      </c>
      <c r="BA60" s="250">
        <f>IF(AZ60&gt;0,AY60/AZ60*100,IF(AY60=0,100,120))</f>
        <v>100</v>
      </c>
      <c r="BB60" s="248" t="s">
        <v>118</v>
      </c>
      <c r="BC60" s="253">
        <f>IF(BA60&gt;120,0.75,IF(BA60&lt;=120,IF(BA60&lt;=80,0.25,0.5)))</f>
        <v>0.5</v>
      </c>
      <c r="BE60" s="162">
        <f>BE33</f>
        <v>0</v>
      </c>
      <c r="BF60" s="162">
        <f>BF33</f>
        <v>0</v>
      </c>
      <c r="BG60" s="175">
        <f>IF(BF60&gt;0,BE60/BF60*100,IF(BE60=0,100,120))</f>
        <v>100</v>
      </c>
      <c r="BH60" s="163" t="s">
        <v>118</v>
      </c>
      <c r="BI60" s="148">
        <f>IF(BG60&gt;120,0.75,IF(BG60&lt;=120,IF(BG60&lt;=80,0.25,0.5)))</f>
        <v>0.5</v>
      </c>
      <c r="BK60" s="162">
        <f>BK33</f>
        <v>0</v>
      </c>
      <c r="BL60" s="162">
        <f>BL33</f>
        <v>0</v>
      </c>
      <c r="BM60" s="175">
        <f>IF(BL60&gt;0,BK60/BL60*100,IF(BK60=0,100,120))</f>
        <v>100</v>
      </c>
      <c r="BN60" s="163" t="s">
        <v>118</v>
      </c>
      <c r="BO60" s="148">
        <f>IF(BM60&gt;120,0.75,IF(BM60&lt;=120,IF(BM60&lt;=80,0.25,0.5)))</f>
        <v>0.5</v>
      </c>
    </row>
    <row r="61" spans="7:67" ht="22.5">
      <c r="G61" s="492" t="s">
        <v>121</v>
      </c>
      <c r="H61" s="507" t="s">
        <v>169</v>
      </c>
      <c r="I61" s="358"/>
      <c r="J61" s="232"/>
      <c r="K61" s="168"/>
      <c r="L61" s="455"/>
      <c r="M61" s="455"/>
      <c r="N61" s="455"/>
      <c r="O61" s="455" t="s">
        <v>118</v>
      </c>
      <c r="P61" s="460">
        <f>P62</f>
        <v>0.2</v>
      </c>
      <c r="Q61" s="232"/>
      <c r="R61" s="248"/>
      <c r="S61" s="248"/>
      <c r="T61" s="248"/>
      <c r="U61" s="248" t="s">
        <v>118</v>
      </c>
      <c r="V61" s="250">
        <f>V62</f>
        <v>0.2</v>
      </c>
      <c r="W61" s="252"/>
      <c r="X61" s="248"/>
      <c r="Y61" s="248"/>
      <c r="Z61" s="248"/>
      <c r="AA61" s="248" t="s">
        <v>118</v>
      </c>
      <c r="AB61" s="250">
        <f>AB62</f>
        <v>0.2</v>
      </c>
      <c r="AC61" s="229"/>
      <c r="AD61" s="248"/>
      <c r="AE61" s="248"/>
      <c r="AF61" s="248"/>
      <c r="AG61" s="248" t="s">
        <v>118</v>
      </c>
      <c r="AH61" s="250">
        <f>AH62</f>
        <v>0.2</v>
      </c>
      <c r="AI61" s="229"/>
      <c r="AJ61" s="248"/>
      <c r="AK61" s="248"/>
      <c r="AL61" s="248"/>
      <c r="AM61" s="248" t="s">
        <v>118</v>
      </c>
      <c r="AN61" s="250">
        <f>AN62</f>
        <v>0.2</v>
      </c>
      <c r="AO61" s="229"/>
      <c r="AP61" s="229"/>
      <c r="AQ61" s="229"/>
      <c r="AR61" s="232"/>
      <c r="AS61" s="248"/>
      <c r="AT61" s="248"/>
      <c r="AU61" s="248"/>
      <c r="AV61" s="248" t="s">
        <v>118</v>
      </c>
      <c r="AW61" s="250">
        <f>AW62</f>
        <v>0.2</v>
      </c>
      <c r="AX61" s="252"/>
      <c r="AY61" s="248"/>
      <c r="AZ61" s="248"/>
      <c r="BA61" s="248"/>
      <c r="BB61" s="248" t="s">
        <v>118</v>
      </c>
      <c r="BC61" s="250">
        <f>BC62</f>
        <v>0.2</v>
      </c>
      <c r="BE61" s="163"/>
      <c r="BF61" s="163"/>
      <c r="BG61" s="163"/>
      <c r="BH61" s="163" t="s">
        <v>118</v>
      </c>
      <c r="BI61" s="149">
        <f>BI62</f>
        <v>0.2</v>
      </c>
      <c r="BK61" s="163"/>
      <c r="BL61" s="163"/>
      <c r="BM61" s="163"/>
      <c r="BN61" s="163" t="s">
        <v>118</v>
      </c>
      <c r="BO61" s="149">
        <f>BO62</f>
        <v>0.2</v>
      </c>
    </row>
    <row r="62" spans="7:67" ht="45" customHeight="1">
      <c r="G62" s="492" t="s">
        <v>299</v>
      </c>
      <c r="H62" s="506" t="s">
        <v>300</v>
      </c>
      <c r="I62" s="168"/>
      <c r="J62" s="232"/>
      <c r="K62" s="167"/>
      <c r="L62" s="460">
        <f>L35</f>
        <v>0</v>
      </c>
      <c r="M62" s="460">
        <f>M35</f>
        <v>0</v>
      </c>
      <c r="N62" s="460">
        <f>IF(M62&gt;0,L62/M62*100,IF(L62=0,100,120))</f>
        <v>100</v>
      </c>
      <c r="O62" s="455" t="s">
        <v>118</v>
      </c>
      <c r="P62" s="504">
        <f>IF(N62&gt;120,0.3,IF(N62&lt;=120,IF(N62&lt;=80,0.1,0.2)))</f>
        <v>0.2</v>
      </c>
      <c r="Q62" s="254"/>
      <c r="R62" s="250">
        <f>R35</f>
        <v>0</v>
      </c>
      <c r="S62" s="250">
        <f>S35</f>
        <v>0</v>
      </c>
      <c r="T62" s="250">
        <f>IF(S62&gt;0,R62/S62*100,IF(R62=0,100,120))</f>
        <v>100</v>
      </c>
      <c r="U62" s="248" t="s">
        <v>118</v>
      </c>
      <c r="V62" s="253">
        <f>IF(T62&gt;120,0.3,IF(T62&lt;=120,IF(T62&lt;=80,0.1,0.2)))</f>
        <v>0.2</v>
      </c>
      <c r="W62" s="255"/>
      <c r="X62" s="250">
        <f>X35</f>
        <v>0</v>
      </c>
      <c r="Y62" s="250">
        <f>Y35</f>
        <v>0</v>
      </c>
      <c r="Z62" s="250">
        <f>IF(Y62&gt;0,X62/Y62*100,IF(X62=0,100,120))</f>
        <v>100</v>
      </c>
      <c r="AA62" s="248" t="s">
        <v>118</v>
      </c>
      <c r="AB62" s="253">
        <f>IF(Z62&gt;120,0.3,IF(Z62&lt;=120,IF(Z62&lt;=80,0.1,0.2)))</f>
        <v>0.2</v>
      </c>
      <c r="AC62" s="229"/>
      <c r="AD62" s="250">
        <f>AD35</f>
        <v>0</v>
      </c>
      <c r="AE62" s="250">
        <f>AE35</f>
        <v>0</v>
      </c>
      <c r="AF62" s="250">
        <f>IF(AE62&gt;0,AD62/AE62*100,IF(AD62=0,100,120))</f>
        <v>100</v>
      </c>
      <c r="AG62" s="248" t="s">
        <v>118</v>
      </c>
      <c r="AH62" s="253">
        <f>IF(AF62&gt;120,0.3,IF(AF62&lt;=120,IF(AF62&lt;=80,0.1,0.2)))</f>
        <v>0.2</v>
      </c>
      <c r="AI62" s="229"/>
      <c r="AJ62" s="250">
        <f>AJ35</f>
        <v>0</v>
      </c>
      <c r="AK62" s="250">
        <f>AK35</f>
        <v>0</v>
      </c>
      <c r="AL62" s="250">
        <f>IF(AK62&gt;0,AJ62/AK62*100,IF(AJ62=0,100,120))</f>
        <v>100</v>
      </c>
      <c r="AM62" s="248" t="s">
        <v>118</v>
      </c>
      <c r="AN62" s="253">
        <f>IF(AL62&gt;120,0.3,IF(AL62&lt;=120,IF(AL62&lt;=80,0.1,0.2)))</f>
        <v>0.2</v>
      </c>
      <c r="AO62" s="229"/>
      <c r="AP62" s="229"/>
      <c r="AQ62" s="229"/>
      <c r="AR62" s="254"/>
      <c r="AS62" s="250">
        <f>AS35</f>
        <v>0</v>
      </c>
      <c r="AT62" s="250">
        <f>AT35</f>
        <v>0</v>
      </c>
      <c r="AU62" s="250">
        <f>IF(AT62&gt;0,AS62/AT62*100,IF(AS62=0,100,120))</f>
        <v>100</v>
      </c>
      <c r="AV62" s="248" t="s">
        <v>118</v>
      </c>
      <c r="AW62" s="253">
        <f>IF(AU62&gt;120,0.3,IF(AU62&lt;=120,IF(AU62&lt;=80,0.1,0.2)))</f>
        <v>0.2</v>
      </c>
      <c r="AX62" s="255"/>
      <c r="AY62" s="250">
        <f>AY35</f>
        <v>0</v>
      </c>
      <c r="AZ62" s="250">
        <f>AZ35</f>
        <v>0</v>
      </c>
      <c r="BA62" s="250">
        <f>IF(AZ62&gt;0,AY62/AZ62*100,IF(AY62=0,100,120))</f>
        <v>100</v>
      </c>
      <c r="BB62" s="248" t="s">
        <v>118</v>
      </c>
      <c r="BC62" s="253">
        <f>IF(BA62&gt;120,0.3,IF(BA62&lt;=120,IF(BA62&lt;=80,0.1,0.2)))</f>
        <v>0.2</v>
      </c>
      <c r="BE62" s="162">
        <f>BE35</f>
        <v>0</v>
      </c>
      <c r="BF62" s="162">
        <f>BF35</f>
        <v>0</v>
      </c>
      <c r="BG62" s="175">
        <f>IF(BF62&gt;0,BE62/BF62*100,IF(BE62=0,100,120))</f>
        <v>100</v>
      </c>
      <c r="BH62" s="163" t="s">
        <v>118</v>
      </c>
      <c r="BI62" s="148">
        <f>IF(BG62&gt;120,0.3,IF(BG62&lt;=120,IF(BG62&lt;=80,0.1,0.2)))</f>
        <v>0.2</v>
      </c>
      <c r="BK62" s="162">
        <f>BK35</f>
        <v>0</v>
      </c>
      <c r="BL62" s="162">
        <f>BL35</f>
        <v>0</v>
      </c>
      <c r="BM62" s="175">
        <f>IF(BL62&gt;0,BK62/BL62*100,IF(BK62=0,100,120))</f>
        <v>100</v>
      </c>
      <c r="BN62" s="163" t="s">
        <v>118</v>
      </c>
      <c r="BO62" s="148">
        <f>IF(BM62&gt;120,0.3,IF(BM62&lt;=120,IF(BM62&lt;=80,0.1,0.2)))</f>
        <v>0.2</v>
      </c>
    </row>
    <row r="63" spans="7:67" ht="30" customHeight="1">
      <c r="G63" s="492" t="s">
        <v>120</v>
      </c>
      <c r="H63" s="511" t="s">
        <v>225</v>
      </c>
      <c r="I63" s="167"/>
      <c r="J63" s="232"/>
      <c r="K63" s="167"/>
      <c r="L63" s="455"/>
      <c r="M63" s="455"/>
      <c r="N63" s="455"/>
      <c r="O63" s="455"/>
      <c r="P63" s="462">
        <f>ROUND(AVERAGE(P43,P46,P52,P54,P56,P58,P61),3)</f>
        <v>0.604</v>
      </c>
      <c r="Q63" s="233"/>
      <c r="R63" s="248"/>
      <c r="S63" s="248"/>
      <c r="T63" s="248"/>
      <c r="U63" s="248"/>
      <c r="V63" s="256">
        <f>ROUND(AVERAGE(V43,V46,V52,V54,V56,V58,V61),3)</f>
        <v>0.586</v>
      </c>
      <c r="W63" s="257"/>
      <c r="X63" s="248"/>
      <c r="Y63" s="248"/>
      <c r="Z63" s="248"/>
      <c r="AA63" s="248"/>
      <c r="AB63" s="256">
        <f>ROUND(AVERAGE(AB43,AB46,AB52,AB54,AB56,AB58,AB61),3)</f>
        <v>0.586</v>
      </c>
      <c r="AC63" s="229"/>
      <c r="AD63" s="248"/>
      <c r="AE63" s="248"/>
      <c r="AF63" s="248"/>
      <c r="AG63" s="248"/>
      <c r="AH63" s="256">
        <f>ROUND(AVERAGE(AH43,AH46,AH52,AH54,AH56,AH58,AH61),3)</f>
        <v>0.586</v>
      </c>
      <c r="AI63" s="229"/>
      <c r="AJ63" s="248"/>
      <c r="AK63" s="248"/>
      <c r="AL63" s="248"/>
      <c r="AM63" s="248"/>
      <c r="AN63" s="256">
        <f>ROUND(AVERAGE(AN43,AN46,AN52,AN54,AN56,AN58,AN61),3)</f>
        <v>0.586</v>
      </c>
      <c r="AO63" s="229"/>
      <c r="AP63" s="229"/>
      <c r="AQ63" s="229"/>
      <c r="AR63" s="233"/>
      <c r="AS63" s="248"/>
      <c r="AT63" s="248"/>
      <c r="AU63" s="248"/>
      <c r="AV63" s="248"/>
      <c r="AW63" s="256">
        <f>ROUND(AVERAGE(AW43,AW46,AW52,AW54,AW56,AW58,AW61),3)</f>
        <v>0.586</v>
      </c>
      <c r="AX63" s="257"/>
      <c r="AY63" s="248"/>
      <c r="AZ63" s="248"/>
      <c r="BA63" s="248"/>
      <c r="BB63" s="248"/>
      <c r="BC63" s="256">
        <f>ROUND(AVERAGE(BC43,BC46,BC52,BC54,BC56,BC58,BC61),3)</f>
        <v>0.586</v>
      </c>
      <c r="BE63" s="163"/>
      <c r="BF63" s="163"/>
      <c r="BG63" s="163"/>
      <c r="BH63" s="163"/>
      <c r="BI63" s="150">
        <f>ROUND(AVERAGE(BI43,BI46,BI52,BI54,BI56,BI58,BI61),3)</f>
        <v>0.586</v>
      </c>
      <c r="BK63" s="163"/>
      <c r="BL63" s="163"/>
      <c r="BM63" s="163"/>
      <c r="BN63" s="163"/>
      <c r="BO63" s="150">
        <f>ROUND(AVERAGE(BO43,BO46,BO52,BO54,BO56,BO58,BO61),3)</f>
        <v>0.586</v>
      </c>
    </row>
    <row r="64" spans="7:18" ht="11.25">
      <c r="G64" s="76"/>
      <c r="H64" s="48"/>
      <c r="I64" s="48"/>
      <c r="J64" s="430"/>
      <c r="K64" s="48"/>
      <c r="L64" s="48"/>
      <c r="M64" s="48"/>
      <c r="N64" s="48"/>
      <c r="O64" s="48"/>
      <c r="P64" s="48"/>
      <c r="Q64" s="83"/>
      <c r="R64" s="334"/>
    </row>
    <row r="65" spans="7:37" s="113" customFormat="1" ht="11.25">
      <c r="G65" s="9"/>
      <c r="H65" s="9" t="s">
        <v>92</v>
      </c>
      <c r="I65" s="9"/>
      <c r="J65" s="9"/>
      <c r="K65" s="9"/>
      <c r="L65" s="145"/>
      <c r="M65" s="145"/>
      <c r="Q65" s="114"/>
      <c r="R65" s="335"/>
      <c r="S65" s="335"/>
      <c r="X65" s="335"/>
      <c r="Y65" s="335"/>
      <c r="AD65" s="335"/>
      <c r="AE65" s="335"/>
      <c r="AJ65" s="335"/>
      <c r="AK65" s="335"/>
    </row>
    <row r="66" spans="7:37" s="113" customFormat="1" ht="11.25">
      <c r="G66" s="9"/>
      <c r="H66" s="10"/>
      <c r="I66" s="10"/>
      <c r="J66" s="9"/>
      <c r="K66" s="10"/>
      <c r="Q66" s="114"/>
      <c r="R66" s="335"/>
      <c r="S66" s="335"/>
      <c r="X66" s="335"/>
      <c r="Y66" s="335"/>
      <c r="AD66" s="335"/>
      <c r="AE66" s="335"/>
      <c r="AJ66" s="335"/>
      <c r="AK66" s="335"/>
    </row>
    <row r="67" spans="7:37" s="113" customFormat="1" ht="11.25" customHeight="1">
      <c r="G67" s="11"/>
      <c r="H67" s="12"/>
      <c r="I67" s="12"/>
      <c r="J67" s="428"/>
      <c r="K67" s="12"/>
      <c r="L67" s="146"/>
      <c r="M67" s="146"/>
      <c r="N67" s="146"/>
      <c r="O67" s="146"/>
      <c r="P67" s="59" t="str">
        <f>IF(fioRUK="","Руководитель не задан",fioRUK)</f>
        <v>Муравин Алексей Анатольевич</v>
      </c>
      <c r="Q67" s="173"/>
      <c r="R67" s="335"/>
      <c r="S67" s="335"/>
      <c r="X67" s="335"/>
      <c r="Y67" s="335"/>
      <c r="AD67" s="335"/>
      <c r="AE67" s="335"/>
      <c r="AJ67" s="335"/>
      <c r="AK67" s="335"/>
    </row>
    <row r="68" spans="7:37" s="113" customFormat="1" ht="11.25" customHeight="1">
      <c r="G68" s="579" t="s">
        <v>93</v>
      </c>
      <c r="H68" s="579"/>
      <c r="I68" s="60"/>
      <c r="J68" s="429"/>
      <c r="K68" s="60"/>
      <c r="L68" s="636" t="s">
        <v>94</v>
      </c>
      <c r="M68" s="636"/>
      <c r="N68" s="636"/>
      <c r="O68" s="636"/>
      <c r="P68" s="636"/>
      <c r="Q68" s="60"/>
      <c r="R68" s="335"/>
      <c r="S68" s="335"/>
      <c r="X68" s="335"/>
      <c r="Y68" s="335"/>
      <c r="AD68" s="335"/>
      <c r="AE68" s="335"/>
      <c r="AJ68" s="335"/>
      <c r="AK68" s="335"/>
    </row>
    <row r="69" spans="7:37" s="113" customFormat="1" ht="11.25" customHeight="1">
      <c r="G69" s="61" t="str">
        <f>IF(doljnDL="","Должность не задана",doljnDL)</f>
        <v>и.о. заместителя генерального директора по реализации услуг</v>
      </c>
      <c r="H69" s="12"/>
      <c r="I69" s="12"/>
      <c r="J69" s="428"/>
      <c r="K69" s="12"/>
      <c r="L69" s="146"/>
      <c r="M69" s="146"/>
      <c r="N69" s="146"/>
      <c r="O69" s="146"/>
      <c r="P69" s="59" t="str">
        <f>IF(fioDL="","Должностное лицо не задано",fioDL)</f>
        <v>Смышляева Елена Николаевна</v>
      </c>
      <c r="Q69" s="173"/>
      <c r="R69" s="335"/>
      <c r="S69" s="335"/>
      <c r="X69" s="335"/>
      <c r="Y69" s="335"/>
      <c r="AD69" s="335"/>
      <c r="AE69" s="335"/>
      <c r="AJ69" s="335"/>
      <c r="AK69" s="335"/>
    </row>
    <row r="70" spans="7:37" s="113" customFormat="1" ht="11.25">
      <c r="G70" s="579" t="s">
        <v>95</v>
      </c>
      <c r="H70" s="579"/>
      <c r="I70" s="60"/>
      <c r="J70" s="429"/>
      <c r="K70" s="60"/>
      <c r="L70" s="635" t="s">
        <v>94</v>
      </c>
      <c r="M70" s="635"/>
      <c r="N70" s="635"/>
      <c r="O70" s="635"/>
      <c r="P70" s="635"/>
      <c r="Q70" s="174"/>
      <c r="R70" s="335"/>
      <c r="S70" s="335"/>
      <c r="X70" s="335"/>
      <c r="Y70" s="335"/>
      <c r="AD70" s="335"/>
      <c r="AE70" s="335"/>
      <c r="AJ70" s="335"/>
      <c r="AK70" s="335"/>
    </row>
    <row r="71" spans="7:37" s="113" customFormat="1" ht="11.25">
      <c r="G71" s="65" t="str">
        <f>IF(DL_Tel&lt;&gt;"","Телефон: "&amp;DL_Tel&amp;", ","")&amp;IF(DL_email&lt;&gt;"","e-mail: "&amp;DL_email,"")</f>
        <v>Телефон: (88162)680112, e-mail: smen@nokes.natm.ru</v>
      </c>
      <c r="H71" s="7"/>
      <c r="I71" s="7"/>
      <c r="J71" s="9"/>
      <c r="K71" s="7"/>
      <c r="L71" s="146"/>
      <c r="M71" s="146"/>
      <c r="N71" s="146"/>
      <c r="O71" s="146"/>
      <c r="P71" s="146"/>
      <c r="Q71" s="114"/>
      <c r="R71" s="335"/>
      <c r="S71" s="335"/>
      <c r="X71" s="335"/>
      <c r="Y71" s="335"/>
      <c r="AD71" s="335"/>
      <c r="AE71" s="335"/>
      <c r="AJ71" s="335"/>
      <c r="AK71" s="335"/>
    </row>
    <row r="72" spans="7:37" s="113" customFormat="1" ht="11.25">
      <c r="G72" s="579" t="s">
        <v>96</v>
      </c>
      <c r="H72" s="579"/>
      <c r="I72" s="60"/>
      <c r="J72" s="429"/>
      <c r="K72" s="60"/>
      <c r="Q72" s="114"/>
      <c r="R72" s="335"/>
      <c r="S72" s="335"/>
      <c r="X72" s="335"/>
      <c r="Y72" s="335"/>
      <c r="AD72" s="335"/>
      <c r="AE72" s="335"/>
      <c r="AJ72" s="335"/>
      <c r="AK72" s="335"/>
    </row>
    <row r="73" ht="56.25" customHeight="1"/>
    <row r="88" ht="11.25" customHeight="1"/>
    <row r="90" ht="11.25" customHeight="1"/>
    <row r="92" ht="11.25" customHeight="1"/>
  </sheetData>
  <sheetProtection formatColumns="0" formatRows="0"/>
  <mergeCells count="72">
    <mergeCell ref="BK38:BO39"/>
    <mergeCell ref="BM40:BM41"/>
    <mergeCell ref="BN40:BN41"/>
    <mergeCell ref="AS38:AW39"/>
    <mergeCell ref="AY38:BC39"/>
    <mergeCell ref="AU40:AU41"/>
    <mergeCell ref="BG40:BG41"/>
    <mergeCell ref="BH40:BH41"/>
    <mergeCell ref="BO40:BO41"/>
    <mergeCell ref="BK40:BL40"/>
    <mergeCell ref="AS10:AT10"/>
    <mergeCell ref="AY10:AZ10"/>
    <mergeCell ref="BE10:BF10"/>
    <mergeCell ref="BI40:BI41"/>
    <mergeCell ref="BE38:BI39"/>
    <mergeCell ref="BK10:BL10"/>
    <mergeCell ref="AU11:AW11"/>
    <mergeCell ref="BC40:BC41"/>
    <mergeCell ref="BA40:BA41"/>
    <mergeCell ref="BB40:BB41"/>
    <mergeCell ref="AW40:AW41"/>
    <mergeCell ref="AY40:AZ40"/>
    <mergeCell ref="BE40:BF40"/>
    <mergeCell ref="AF40:AF41"/>
    <mergeCell ref="AG40:AG41"/>
    <mergeCell ref="AH40:AH41"/>
    <mergeCell ref="AV40:AV41"/>
    <mergeCell ref="AS40:AT40"/>
    <mergeCell ref="AJ40:AK40"/>
    <mergeCell ref="AL40:AL41"/>
    <mergeCell ref="AM40:AM41"/>
    <mergeCell ref="AN40:AN41"/>
    <mergeCell ref="G39:H39"/>
    <mergeCell ref="J38:J39"/>
    <mergeCell ref="H10:H11"/>
    <mergeCell ref="G10:G11"/>
    <mergeCell ref="X38:AB39"/>
    <mergeCell ref="L10:M10"/>
    <mergeCell ref="R10:S10"/>
    <mergeCell ref="X10:Y10"/>
    <mergeCell ref="L38:P39"/>
    <mergeCell ref="R38:V39"/>
    <mergeCell ref="AJ10:AK10"/>
    <mergeCell ref="AJ38:AN39"/>
    <mergeCell ref="AD10:AE10"/>
    <mergeCell ref="AD38:AH39"/>
    <mergeCell ref="AD40:AE40"/>
    <mergeCell ref="G8:H8"/>
    <mergeCell ref="G9:H9"/>
    <mergeCell ref="N11:P11"/>
    <mergeCell ref="T11:V11"/>
    <mergeCell ref="G38:H38"/>
    <mergeCell ref="N40:N41"/>
    <mergeCell ref="O40:O41"/>
    <mergeCell ref="P40:P41"/>
    <mergeCell ref="J40:J41"/>
    <mergeCell ref="Z40:Z41"/>
    <mergeCell ref="AB40:AB41"/>
    <mergeCell ref="T40:T41"/>
    <mergeCell ref="U40:U41"/>
    <mergeCell ref="V40:V41"/>
    <mergeCell ref="X40:Y40"/>
    <mergeCell ref="AA40:AA41"/>
    <mergeCell ref="R40:S40"/>
    <mergeCell ref="G72:H72"/>
    <mergeCell ref="G40:G41"/>
    <mergeCell ref="H40:H41"/>
    <mergeCell ref="L40:M40"/>
    <mergeCell ref="G68:H68"/>
    <mergeCell ref="L68:P68"/>
    <mergeCell ref="G70:H70"/>
    <mergeCell ref="L70:P70"/>
  </mergeCells>
  <conditionalFormatting sqref="L47 L59:M60 L68 L62:M62 J47 J59:J60 J62">
    <cfRule type="cellIs" priority="49" dxfId="0" operator="equal" stopIfTrue="1">
      <formula>""""""</formula>
    </cfRule>
    <cfRule type="cellIs" priority="50" dxfId="0" operator="between" stopIfTrue="1">
      <formula>""""""</formula>
      <formula>""""""</formula>
    </cfRule>
    <cfRule type="cellIs" priority="51" dxfId="0" operator="equal" stopIfTrue="1">
      <formula>""""""</formula>
    </cfRule>
  </conditionalFormatting>
  <conditionalFormatting sqref="AS47 AS59:AT60 AS62:AT62 AY47 AY59:AZ60 AY62:AZ62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BE47 BE59:BF60 BE62:BF62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BK47 BK59:BL60 BK62:BL62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R47 R59:S60 R62:S62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X47 X59:Y60 X62:Y62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AD47 AD59:AE60 AD62:AE62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AJ47 AJ59:AK60 AJ62:AK62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dataValidations count="3">
    <dataValidation type="decimal" allowBlank="1" showInputMessage="1" showErrorMessage="1" sqref="L18:M18 L23:M23 L26:M26 L28:M28 L16:M16">
      <formula1>0</formula1>
      <formula2>9.99999999999999E+31</formula2>
    </dataValidation>
    <dataValidation type="decimal" allowBlank="1" showErrorMessage="1" errorTitle="Ошибка" error="Допускается ввод только неотрицательных чисел!" sqref="BL35 BF35 AZ35 BL33 BF33 AZ33 BL29:BL30 BF29:BF30 AZ29:AZ30 BL27 BF27 AZ27 BL24:BL25 BF24:BF25 AZ24:AZ25 BL19:BL22 BF19:BF22 AZ19:AZ22 BL17 BF17 AZ17 BL14:BL15 BF14:BF15 AZ14:AZ15 AT35 AT33 AT29:AT30 AT27 AT24:AT25 AT19:AT22 L14:M15 AT17 L17:M17 AT14:AT15 L24:M25 L27:M27 L29:M30 L33:M33 L35:M35 L19:M22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чисел!" sqref="BL32 AT32 AZ32 BF32 L32:M32">
      <formula1>"0,1"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BN81"/>
  <sheetViews>
    <sheetView showGridLines="0" zoomScalePageLayoutView="0" workbookViewId="0" topLeftCell="F7">
      <selection activeCell="H66" sqref="H66"/>
    </sheetView>
  </sheetViews>
  <sheetFormatPr defaultColWidth="9.140625" defaultRowHeight="11.25"/>
  <cols>
    <col min="1" max="5" width="9.140625" style="77" hidden="1" customWidth="1"/>
    <col min="6" max="6" width="3.8515625" style="77" customWidth="1"/>
    <col min="7" max="7" width="9.00390625" style="77" customWidth="1"/>
    <col min="8" max="8" width="80.8515625" style="77" customWidth="1"/>
    <col min="9" max="9" width="1.421875" style="77" customWidth="1"/>
    <col min="10" max="10" width="1.28515625" style="77" customWidth="1"/>
    <col min="11" max="11" width="1.421875" style="77" customWidth="1"/>
    <col min="12" max="13" width="11.421875" style="77" customWidth="1"/>
    <col min="14" max="14" width="13.421875" style="77" customWidth="1"/>
    <col min="15" max="16" width="9.140625" style="77" customWidth="1"/>
    <col min="17" max="17" width="2.140625" style="77" customWidth="1"/>
    <col min="18" max="22" width="0" style="77" hidden="1" customWidth="1"/>
    <col min="23" max="23" width="2.140625" style="77" hidden="1" customWidth="1"/>
    <col min="24" max="28" width="0" style="77" hidden="1" customWidth="1"/>
    <col min="29" max="29" width="2.140625" style="77" customWidth="1"/>
    <col min="30" max="34" width="9.140625" style="77" hidden="1" customWidth="1"/>
    <col min="35" max="35" width="2.140625" style="77" hidden="1" customWidth="1"/>
    <col min="36" max="40" width="9.140625" style="77" hidden="1" customWidth="1"/>
    <col min="41" max="43" width="9.140625" style="77" customWidth="1"/>
    <col min="44" max="66" width="9.140625" style="77" hidden="1" customWidth="1"/>
    <col min="67" max="16384" width="9.140625" style="7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>
      <c r="R6" s="77" t="s">
        <v>24</v>
      </c>
    </row>
    <row r="7" spans="8:13" ht="11.25">
      <c r="H7" s="374"/>
      <c r="I7" s="375"/>
      <c r="J7" s="375"/>
      <c r="K7" s="375"/>
      <c r="M7" s="94"/>
    </row>
    <row r="8" spans="7:14" ht="13.5" customHeight="1">
      <c r="G8" s="639" t="s">
        <v>131</v>
      </c>
      <c r="H8" s="639"/>
      <c r="I8" s="89"/>
      <c r="J8" s="89"/>
      <c r="K8" s="89"/>
      <c r="L8" s="89"/>
      <c r="M8" s="89"/>
      <c r="N8" s="89"/>
    </row>
    <row r="9" spans="7:20" ht="15.75" customHeight="1">
      <c r="G9" s="640" t="str">
        <f>IF(org&lt;&gt;"",org,"Организация не определена")</f>
        <v>ОАО "Новгородоблэлектро"</v>
      </c>
      <c r="H9" s="640"/>
      <c r="I9" s="161"/>
      <c r="J9" s="161"/>
      <c r="K9" s="161"/>
      <c r="L9" s="161"/>
      <c r="M9" s="161"/>
      <c r="N9" s="325"/>
      <c r="O9" s="325"/>
      <c r="P9" s="325"/>
      <c r="Q9" s="325"/>
      <c r="R9" s="89"/>
      <c r="S9" s="91"/>
      <c r="T9" s="91"/>
    </row>
    <row r="10" spans="7:63" ht="22.5" customHeight="1">
      <c r="G10" s="633" t="s">
        <v>267</v>
      </c>
      <c r="H10" s="633" t="s">
        <v>269</v>
      </c>
      <c r="I10" s="182"/>
      <c r="J10" s="422"/>
      <c r="K10" s="182"/>
      <c r="L10" s="614" t="str">
        <f>IF(prd&lt;&gt;"",prd&amp;" год","Не определено")</f>
        <v>2014 год</v>
      </c>
      <c r="M10" s="614"/>
      <c r="N10" s="79"/>
      <c r="O10" s="376"/>
      <c r="R10" s="654" t="str">
        <f>IF(_prd3&lt;&gt;"",_prd3+1&amp;" год","Не определено")</f>
        <v>Не определено</v>
      </c>
      <c r="S10" s="654"/>
      <c r="X10" s="654" t="str">
        <f>IF(_prd3&lt;&gt;"",_prd3+2&amp;" год","Не определено")</f>
        <v>Не определено</v>
      </c>
      <c r="Y10" s="654"/>
      <c r="AD10" s="654" t="str">
        <f>IF(_prd3&lt;&gt;"",_prd3+3&amp;" год","Не определено")</f>
        <v>Не определено</v>
      </c>
      <c r="AE10" s="654"/>
      <c r="AJ10" s="614" t="str">
        <f>IF(_prd3&lt;&gt;"",_prd3+4&amp;" год","Не определено")</f>
        <v>Не определено</v>
      </c>
      <c r="AK10" s="614"/>
      <c r="AR10" s="614" t="str">
        <f>IF(_prd3&lt;&gt;"",_prd3+1&amp;" год","Не определено")</f>
        <v>Не определено</v>
      </c>
      <c r="AS10" s="614"/>
      <c r="AX10" s="614" t="str">
        <f>IF(_prd3&lt;&gt;"",_prd3+2&amp;" год","Не определено")</f>
        <v>Не определено</v>
      </c>
      <c r="AY10" s="614"/>
      <c r="BD10" s="654" t="str">
        <f>IF(_prd3&lt;&gt;"",_prd3+3&amp;" год","Не определено")</f>
        <v>Не определено</v>
      </c>
      <c r="BE10" s="654"/>
      <c r="BJ10" s="614" t="str">
        <f>IF(_prd3&lt;&gt;"",_prd3+4&amp;" год","Не определено")</f>
        <v>Не определено</v>
      </c>
      <c r="BK10" s="614"/>
    </row>
    <row r="11" spans="7:63" ht="11.25">
      <c r="G11" s="633"/>
      <c r="H11" s="633"/>
      <c r="I11" s="182"/>
      <c r="J11" s="425"/>
      <c r="K11" s="182"/>
      <c r="L11" s="453" t="s">
        <v>153</v>
      </c>
      <c r="M11" s="453" t="s">
        <v>160</v>
      </c>
      <c r="N11" s="641"/>
      <c r="O11" s="641"/>
      <c r="P11" s="641"/>
      <c r="Q11" s="172"/>
      <c r="R11" s="373" t="s">
        <v>153</v>
      </c>
      <c r="S11" s="373" t="s">
        <v>160</v>
      </c>
      <c r="T11" s="642"/>
      <c r="U11" s="642"/>
      <c r="V11" s="642"/>
      <c r="W11" s="171"/>
      <c r="X11" s="373" t="s">
        <v>153</v>
      </c>
      <c r="Y11" s="373" t="s">
        <v>160</v>
      </c>
      <c r="AD11" s="329" t="s">
        <v>153</v>
      </c>
      <c r="AE11" s="329" t="s">
        <v>160</v>
      </c>
      <c r="AJ11" s="326" t="s">
        <v>153</v>
      </c>
      <c r="AK11" s="326" t="s">
        <v>160</v>
      </c>
      <c r="AR11" s="194" t="s">
        <v>153</v>
      </c>
      <c r="AS11" s="194" t="s">
        <v>160</v>
      </c>
      <c r="AT11" s="642"/>
      <c r="AU11" s="642"/>
      <c r="AV11" s="642"/>
      <c r="AW11" s="171"/>
      <c r="AX11" s="194" t="s">
        <v>153</v>
      </c>
      <c r="AY11" s="194" t="s">
        <v>160</v>
      </c>
      <c r="BD11" s="219" t="s">
        <v>153</v>
      </c>
      <c r="BE11" s="219" t="s">
        <v>160</v>
      </c>
      <c r="BJ11" s="194" t="s">
        <v>153</v>
      </c>
      <c r="BK11" s="194" t="s">
        <v>160</v>
      </c>
    </row>
    <row r="12" spans="7:63" s="397" customFormat="1" ht="11.25">
      <c r="G12" s="442" t="s">
        <v>84</v>
      </c>
      <c r="H12" s="443" t="s">
        <v>80</v>
      </c>
      <c r="I12" s="400"/>
      <c r="J12" s="431"/>
      <c r="K12" s="400"/>
      <c r="L12" s="443" t="s">
        <v>81</v>
      </c>
      <c r="M12" s="443" t="s">
        <v>124</v>
      </c>
      <c r="N12" s="401"/>
      <c r="O12" s="402"/>
      <c r="P12" s="402"/>
      <c r="Q12" s="402"/>
      <c r="R12" s="403" t="s">
        <v>123</v>
      </c>
      <c r="S12" s="403" t="s">
        <v>122</v>
      </c>
      <c r="X12" s="403" t="s">
        <v>121</v>
      </c>
      <c r="Y12" s="403" t="s">
        <v>120</v>
      </c>
      <c r="AD12" s="404" t="s">
        <v>75</v>
      </c>
      <c r="AE12" s="404" t="s">
        <v>76</v>
      </c>
      <c r="AJ12" s="404" t="s">
        <v>77</v>
      </c>
      <c r="AK12" s="404" t="s">
        <v>78</v>
      </c>
      <c r="AR12" s="405" t="s">
        <v>123</v>
      </c>
      <c r="AS12" s="405" t="s">
        <v>122</v>
      </c>
      <c r="AX12" s="405" t="s">
        <v>121</v>
      </c>
      <c r="AY12" s="405" t="s">
        <v>120</v>
      </c>
      <c r="BD12" s="405" t="s">
        <v>75</v>
      </c>
      <c r="BE12" s="405" t="s">
        <v>76</v>
      </c>
      <c r="BJ12" s="405" t="s">
        <v>77</v>
      </c>
      <c r="BK12" s="405" t="s">
        <v>78</v>
      </c>
    </row>
    <row r="13" spans="7:63" ht="33.75">
      <c r="G13" s="390" t="s">
        <v>84</v>
      </c>
      <c r="H13" s="444" t="s">
        <v>170</v>
      </c>
      <c r="I13" s="183"/>
      <c r="J13" s="274"/>
      <c r="K13" s="183"/>
      <c r="L13" s="454">
        <v>1</v>
      </c>
      <c r="M13" s="454">
        <v>1</v>
      </c>
      <c r="N13" s="249"/>
      <c r="O13" s="258"/>
      <c r="P13" s="258"/>
      <c r="Q13" s="258"/>
      <c r="R13" s="369">
        <f>S13</f>
        <v>1</v>
      </c>
      <c r="S13" s="369">
        <f>M13</f>
        <v>1</v>
      </c>
      <c r="T13" s="229"/>
      <c r="U13" s="229"/>
      <c r="V13" s="229"/>
      <c r="W13" s="229"/>
      <c r="X13" s="369">
        <f>Y13</f>
        <v>1</v>
      </c>
      <c r="Y13" s="369">
        <f>S13</f>
        <v>1</v>
      </c>
      <c r="Z13" s="229"/>
      <c r="AA13" s="229"/>
      <c r="AB13" s="229"/>
      <c r="AC13" s="229"/>
      <c r="AD13" s="250">
        <f>AE13</f>
        <v>1</v>
      </c>
      <c r="AE13" s="234">
        <f>Y13</f>
        <v>1</v>
      </c>
      <c r="AF13" s="229"/>
      <c r="AG13" s="229"/>
      <c r="AH13" s="229"/>
      <c r="AI13" s="229"/>
      <c r="AJ13" s="250">
        <f>AK13</f>
        <v>1</v>
      </c>
      <c r="AK13" s="234">
        <f>AE13</f>
        <v>1</v>
      </c>
      <c r="AL13" s="229"/>
      <c r="AM13" s="229"/>
      <c r="AN13" s="229"/>
      <c r="AO13" s="229"/>
      <c r="AP13" s="229"/>
      <c r="AQ13" s="229"/>
      <c r="AR13" s="250">
        <f aca="true" t="shared" si="0" ref="AR13:AR39">AS13</f>
        <v>0</v>
      </c>
      <c r="AS13" s="273"/>
      <c r="AT13" s="229"/>
      <c r="AU13" s="229"/>
      <c r="AV13" s="229"/>
      <c r="AW13" s="229"/>
      <c r="AX13" s="250">
        <f aca="true" t="shared" si="1" ref="AX13:AX39">AY13</f>
        <v>0</v>
      </c>
      <c r="AY13" s="273"/>
      <c r="AZ13" s="229"/>
      <c r="BA13" s="229"/>
      <c r="BB13" s="229"/>
      <c r="BC13" s="229"/>
      <c r="BD13" s="250">
        <f>BE13</f>
        <v>0</v>
      </c>
      <c r="BE13" s="273"/>
      <c r="BF13" s="229"/>
      <c r="BG13" s="229"/>
      <c r="BH13" s="229"/>
      <c r="BI13" s="229"/>
      <c r="BJ13" s="250">
        <f>BK13</f>
        <v>0</v>
      </c>
      <c r="BK13" s="273"/>
    </row>
    <row r="14" spans="7:63" ht="11.25">
      <c r="G14" s="390" t="s">
        <v>80</v>
      </c>
      <c r="H14" s="445" t="s">
        <v>247</v>
      </c>
      <c r="I14" s="184"/>
      <c r="J14" s="232"/>
      <c r="K14" s="184"/>
      <c r="L14" s="455"/>
      <c r="M14" s="455"/>
      <c r="N14" s="249"/>
      <c r="O14" s="258"/>
      <c r="P14" s="258"/>
      <c r="Q14" s="258"/>
      <c r="R14" s="370"/>
      <c r="S14" s="370"/>
      <c r="T14" s="229"/>
      <c r="U14" s="229"/>
      <c r="V14" s="229"/>
      <c r="W14" s="229"/>
      <c r="X14" s="370"/>
      <c r="Y14" s="370"/>
      <c r="Z14" s="229"/>
      <c r="AA14" s="229"/>
      <c r="AB14" s="229"/>
      <c r="AC14" s="229"/>
      <c r="AD14" s="235"/>
      <c r="AE14" s="235"/>
      <c r="AF14" s="229"/>
      <c r="AG14" s="229"/>
      <c r="AH14" s="229"/>
      <c r="AI14" s="229"/>
      <c r="AJ14" s="235"/>
      <c r="AK14" s="235"/>
      <c r="AL14" s="229"/>
      <c r="AM14" s="229"/>
      <c r="AN14" s="229"/>
      <c r="AO14" s="229"/>
      <c r="AP14" s="229"/>
      <c r="AQ14" s="229"/>
      <c r="AR14" s="248"/>
      <c r="AS14" s="248"/>
      <c r="AT14" s="229"/>
      <c r="AU14" s="229"/>
      <c r="AV14" s="229"/>
      <c r="AW14" s="229"/>
      <c r="AX14" s="248"/>
      <c r="AY14" s="248"/>
      <c r="AZ14" s="229"/>
      <c r="BA14" s="229"/>
      <c r="BB14" s="229"/>
      <c r="BC14" s="229"/>
      <c r="BD14" s="248"/>
      <c r="BE14" s="248"/>
      <c r="BF14" s="229"/>
      <c r="BG14" s="229"/>
      <c r="BH14" s="229"/>
      <c r="BI14" s="229"/>
      <c r="BJ14" s="248"/>
      <c r="BK14" s="248"/>
    </row>
    <row r="15" spans="7:63" s="78" customFormat="1" ht="33.75">
      <c r="G15" s="390" t="s">
        <v>114</v>
      </c>
      <c r="H15" s="446" t="s">
        <v>254</v>
      </c>
      <c r="I15" s="185"/>
      <c r="J15" s="270"/>
      <c r="K15" s="185"/>
      <c r="L15" s="456">
        <v>67</v>
      </c>
      <c r="M15" s="456">
        <v>170</v>
      </c>
      <c r="N15" s="287"/>
      <c r="O15" s="278"/>
      <c r="P15" s="279"/>
      <c r="Q15" s="279"/>
      <c r="R15" s="369">
        <f>S15</f>
        <v>167.45</v>
      </c>
      <c r="S15" s="372">
        <f>IF('ф.6.4 План_Качество'!$L$10="да",M15*(1-wrk_f24_k),M15)</f>
        <v>167.45</v>
      </c>
      <c r="T15" s="268"/>
      <c r="U15" s="268"/>
      <c r="V15" s="268"/>
      <c r="W15" s="268"/>
      <c r="X15" s="369">
        <f>Y15</f>
        <v>169.96174999999997</v>
      </c>
      <c r="Y15" s="372">
        <f>IF('ф.6.4 План_Качество'!$L$10="да",S15*(1+wrk_f24_k),S15)</f>
        <v>169.96174999999997</v>
      </c>
      <c r="Z15" s="268"/>
      <c r="AA15" s="268"/>
      <c r="AB15" s="268"/>
      <c r="AC15" s="268"/>
      <c r="AD15" s="250">
        <f>AE15</f>
        <v>172.51117624999995</v>
      </c>
      <c r="AE15" s="272">
        <f>IF('ф.6.4 План_Качество'!$L$10="да",Y15*(1+wrk_f24_k),Y15)</f>
        <v>172.51117624999995</v>
      </c>
      <c r="AF15" s="268"/>
      <c r="AG15" s="268"/>
      <c r="AH15" s="268"/>
      <c r="AI15" s="268"/>
      <c r="AJ15" s="250">
        <f>AK15</f>
        <v>175.09884389374994</v>
      </c>
      <c r="AK15" s="272">
        <f>IF('ф.6.4 План_Качество'!$L$10="да",AE15*(1+wrk_f24_k),AE15)</f>
        <v>175.09884389374994</v>
      </c>
      <c r="AL15" s="268"/>
      <c r="AM15" s="268"/>
      <c r="AN15" s="268"/>
      <c r="AO15" s="268"/>
      <c r="AP15" s="268"/>
      <c r="AQ15" s="268"/>
      <c r="AR15" s="289">
        <f t="shared" si="0"/>
        <v>0</v>
      </c>
      <c r="AS15" s="290"/>
      <c r="AT15" s="268"/>
      <c r="AU15" s="268"/>
      <c r="AV15" s="268"/>
      <c r="AW15" s="268"/>
      <c r="AX15" s="289">
        <f t="shared" si="1"/>
        <v>0</v>
      </c>
      <c r="AY15" s="290"/>
      <c r="AZ15" s="268"/>
      <c r="BA15" s="268"/>
      <c r="BB15" s="268"/>
      <c r="BC15" s="268"/>
      <c r="BD15" s="289">
        <f aca="true" t="shared" si="2" ref="BD15:BD22">BE15</f>
        <v>0</v>
      </c>
      <c r="BE15" s="290"/>
      <c r="BF15" s="268"/>
      <c r="BG15" s="268"/>
      <c r="BH15" s="268"/>
      <c r="BI15" s="268"/>
      <c r="BJ15" s="289">
        <f aca="true" t="shared" si="3" ref="BJ15:BJ22">BK15</f>
        <v>0</v>
      </c>
      <c r="BK15" s="290"/>
    </row>
    <row r="16" spans="3:63" ht="11.25">
      <c r="C16" s="77" t="s">
        <v>283</v>
      </c>
      <c r="G16" s="390"/>
      <c r="H16" s="447" t="s">
        <v>32</v>
      </c>
      <c r="I16" s="186"/>
      <c r="J16" s="270"/>
      <c r="K16" s="186"/>
      <c r="L16" s="457">
        <f>'ф.6.1 ИндИнф (Ин)'!L35</f>
        <v>9967</v>
      </c>
      <c r="M16" s="457">
        <f>'ф.6.1 ИндИнф (Ин)'!M35</f>
        <v>6007</v>
      </c>
      <c r="N16" s="291"/>
      <c r="O16" s="278"/>
      <c r="P16" s="279"/>
      <c r="Q16" s="279"/>
      <c r="R16" s="372">
        <f>$M$16</f>
        <v>6007</v>
      </c>
      <c r="S16" s="372">
        <f>M16</f>
        <v>6007</v>
      </c>
      <c r="T16" s="267"/>
      <c r="U16" s="267"/>
      <c r="V16" s="267"/>
      <c r="W16" s="267"/>
      <c r="X16" s="372">
        <f>M16</f>
        <v>6007</v>
      </c>
      <c r="Y16" s="372">
        <f>M16</f>
        <v>6007</v>
      </c>
      <c r="Z16" s="267"/>
      <c r="AA16" s="267"/>
      <c r="AB16" s="267"/>
      <c r="AC16" s="267"/>
      <c r="AD16" s="272">
        <f>M16</f>
        <v>6007</v>
      </c>
      <c r="AE16" s="272">
        <f>M16</f>
        <v>6007</v>
      </c>
      <c r="AF16" s="267"/>
      <c r="AG16" s="267"/>
      <c r="AH16" s="267"/>
      <c r="AI16" s="267"/>
      <c r="AJ16" s="272">
        <f>M16</f>
        <v>6007</v>
      </c>
      <c r="AK16" s="272">
        <f>M16</f>
        <v>6007</v>
      </c>
      <c r="AL16" s="267"/>
      <c r="AM16" s="267"/>
      <c r="AN16" s="267"/>
      <c r="AO16" s="267"/>
      <c r="AP16" s="267"/>
      <c r="AQ16" s="267"/>
      <c r="AR16" s="289">
        <f t="shared" si="0"/>
        <v>0</v>
      </c>
      <c r="AS16" s="289">
        <f>'ф.6.1 ИндИнф (Ин)'!AS35</f>
        <v>0</v>
      </c>
      <c r="AT16" s="267"/>
      <c r="AU16" s="267"/>
      <c r="AV16" s="267"/>
      <c r="AW16" s="267"/>
      <c r="AX16" s="289">
        <f t="shared" si="1"/>
        <v>0</v>
      </c>
      <c r="AY16" s="289">
        <f>'ф.6.1 ИндИнф (Ин)'!AY35</f>
        <v>0</v>
      </c>
      <c r="AZ16" s="267"/>
      <c r="BA16" s="267"/>
      <c r="BB16" s="267"/>
      <c r="BC16" s="267"/>
      <c r="BD16" s="289">
        <f t="shared" si="2"/>
        <v>0</v>
      </c>
      <c r="BE16" s="289">
        <f>'ф.6.1 ИндИнф (Ин)'!BE35</f>
        <v>0</v>
      </c>
      <c r="BF16" s="267"/>
      <c r="BG16" s="267"/>
      <c r="BH16" s="267"/>
      <c r="BI16" s="267"/>
      <c r="BJ16" s="289">
        <f t="shared" si="3"/>
        <v>0</v>
      </c>
      <c r="BK16" s="289">
        <f>'ф.6.1 ИндИнф (Ин)'!BK35</f>
        <v>0</v>
      </c>
    </row>
    <row r="17" spans="7:63" ht="33.75">
      <c r="G17" s="390" t="s">
        <v>113</v>
      </c>
      <c r="H17" s="446" t="s">
        <v>255</v>
      </c>
      <c r="I17" s="185"/>
      <c r="J17" s="270"/>
      <c r="K17" s="185"/>
      <c r="L17" s="456">
        <v>67</v>
      </c>
      <c r="M17" s="456">
        <v>170</v>
      </c>
      <c r="N17" s="291"/>
      <c r="O17" s="278"/>
      <c r="P17" s="278"/>
      <c r="Q17" s="278"/>
      <c r="R17" s="369">
        <f>S17</f>
        <v>172.54999999999998</v>
      </c>
      <c r="S17" s="372">
        <f>IF('ф.6.4 План_Качество'!$L$10="да",M17*(1+wrk_f24_k),M17)</f>
        <v>172.54999999999998</v>
      </c>
      <c r="T17" s="267"/>
      <c r="U17" s="267"/>
      <c r="V17" s="267"/>
      <c r="W17" s="267"/>
      <c r="X17" s="369">
        <f>Y17</f>
        <v>169.96175</v>
      </c>
      <c r="Y17" s="372">
        <f>IF('ф.6.4 План_Качество'!$L$10="да",S17*(1-wrk_f24_k),S17)</f>
        <v>169.96175</v>
      </c>
      <c r="Z17" s="267"/>
      <c r="AA17" s="267"/>
      <c r="AB17" s="267"/>
      <c r="AC17" s="267"/>
      <c r="AD17" s="250">
        <f>AE17</f>
        <v>167.41232374999998</v>
      </c>
      <c r="AE17" s="272">
        <f>IF('ф.6.4 План_Качество'!$L$10="да",Y17*(1-wrk_f24_k),Y17)</f>
        <v>167.41232374999998</v>
      </c>
      <c r="AF17" s="267"/>
      <c r="AG17" s="267"/>
      <c r="AH17" s="267"/>
      <c r="AI17" s="267"/>
      <c r="AJ17" s="250">
        <f>AK17</f>
        <v>164.90113889375</v>
      </c>
      <c r="AK17" s="272">
        <f>IF('ф.6.4 План_Качество'!$L$10="да",AE17*(1-wrk_f24_k),AE17)</f>
        <v>164.90113889375</v>
      </c>
      <c r="AL17" s="267"/>
      <c r="AM17" s="267"/>
      <c r="AN17" s="267"/>
      <c r="AO17" s="267"/>
      <c r="AP17" s="267"/>
      <c r="AQ17" s="267"/>
      <c r="AR17" s="289">
        <f t="shared" si="0"/>
        <v>0</v>
      </c>
      <c r="AS17" s="290"/>
      <c r="AT17" s="267"/>
      <c r="AU17" s="267"/>
      <c r="AV17" s="267"/>
      <c r="AW17" s="267"/>
      <c r="AX17" s="289">
        <f t="shared" si="1"/>
        <v>0</v>
      </c>
      <c r="AY17" s="290"/>
      <c r="AZ17" s="267"/>
      <c r="BA17" s="267"/>
      <c r="BB17" s="267"/>
      <c r="BC17" s="267"/>
      <c r="BD17" s="289">
        <f t="shared" si="2"/>
        <v>0</v>
      </c>
      <c r="BE17" s="290"/>
      <c r="BF17" s="267"/>
      <c r="BG17" s="267"/>
      <c r="BH17" s="267"/>
      <c r="BI17" s="267"/>
      <c r="BJ17" s="289">
        <f t="shared" si="3"/>
        <v>0</v>
      </c>
      <c r="BK17" s="290"/>
    </row>
    <row r="18" spans="7:63" ht="33.75">
      <c r="G18" s="390" t="s">
        <v>194</v>
      </c>
      <c r="H18" s="447" t="s">
        <v>256</v>
      </c>
      <c r="I18" s="186"/>
      <c r="J18" s="270"/>
      <c r="K18" s="186"/>
      <c r="L18" s="456">
        <v>67</v>
      </c>
      <c r="M18" s="456">
        <v>170</v>
      </c>
      <c r="N18" s="291"/>
      <c r="O18" s="278"/>
      <c r="P18" s="278"/>
      <c r="Q18" s="278"/>
      <c r="R18" s="371"/>
      <c r="S18" s="371"/>
      <c r="T18" s="267"/>
      <c r="U18" s="267"/>
      <c r="V18" s="267"/>
      <c r="W18" s="267"/>
      <c r="X18" s="371"/>
      <c r="Y18" s="371"/>
      <c r="Z18" s="267"/>
      <c r="AA18" s="267"/>
      <c r="AB18" s="267"/>
      <c r="AC18" s="267"/>
      <c r="AD18" s="277"/>
      <c r="AE18" s="277"/>
      <c r="AF18" s="267"/>
      <c r="AG18" s="267"/>
      <c r="AH18" s="267"/>
      <c r="AI18" s="267"/>
      <c r="AJ18" s="277"/>
      <c r="AK18" s="277"/>
      <c r="AL18" s="267"/>
      <c r="AM18" s="267"/>
      <c r="AN18" s="267"/>
      <c r="AO18" s="267"/>
      <c r="AP18" s="267"/>
      <c r="AQ18" s="267"/>
      <c r="AR18" s="289">
        <f t="shared" si="0"/>
        <v>0</v>
      </c>
      <c r="AS18" s="290"/>
      <c r="AT18" s="267"/>
      <c r="AU18" s="267"/>
      <c r="AV18" s="267"/>
      <c r="AW18" s="267"/>
      <c r="AX18" s="289">
        <f t="shared" si="1"/>
        <v>0</v>
      </c>
      <c r="AY18" s="290"/>
      <c r="AZ18" s="267"/>
      <c r="BA18" s="267"/>
      <c r="BB18" s="267"/>
      <c r="BC18" s="267"/>
      <c r="BD18" s="289">
        <f t="shared" si="2"/>
        <v>0</v>
      </c>
      <c r="BE18" s="290"/>
      <c r="BF18" s="267"/>
      <c r="BG18" s="267"/>
      <c r="BH18" s="267"/>
      <c r="BI18" s="267"/>
      <c r="BJ18" s="289">
        <f t="shared" si="3"/>
        <v>0</v>
      </c>
      <c r="BK18" s="290"/>
    </row>
    <row r="19" spans="7:63" ht="45">
      <c r="G19" s="390" t="s">
        <v>112</v>
      </c>
      <c r="H19" s="446" t="s">
        <v>257</v>
      </c>
      <c r="I19" s="185"/>
      <c r="J19" s="270"/>
      <c r="K19" s="185"/>
      <c r="L19" s="456">
        <v>0</v>
      </c>
      <c r="M19" s="456">
        <v>2</v>
      </c>
      <c r="N19" s="291"/>
      <c r="O19" s="278"/>
      <c r="P19" s="278"/>
      <c r="Q19" s="278"/>
      <c r="R19" s="369">
        <f>S19</f>
        <v>1.97</v>
      </c>
      <c r="S19" s="372">
        <f>IF('ф.6.4 План_Качество'!$L$10="да",M19*(1-wrk_f24_k),M19)</f>
        <v>1.97</v>
      </c>
      <c r="T19" s="267"/>
      <c r="U19" s="267"/>
      <c r="V19" s="267"/>
      <c r="W19" s="267"/>
      <c r="X19" s="369">
        <f>Y19</f>
        <v>1.9995499999999997</v>
      </c>
      <c r="Y19" s="372">
        <f>IF('ф.6.4 План_Качество'!$L$10="да",S19*(1+wrk_f24_k),S19)</f>
        <v>1.9995499999999997</v>
      </c>
      <c r="Z19" s="267"/>
      <c r="AA19" s="267"/>
      <c r="AB19" s="267"/>
      <c r="AC19" s="267"/>
      <c r="AD19" s="250">
        <f>AE19</f>
        <v>2.0295432499999997</v>
      </c>
      <c r="AE19" s="272">
        <f>IF('ф.6.4 План_Качество'!$L$10="да",Y19*(1+wrk_f24_k),Y19)</f>
        <v>2.0295432499999997</v>
      </c>
      <c r="AF19" s="267"/>
      <c r="AG19" s="267"/>
      <c r="AH19" s="267"/>
      <c r="AI19" s="267"/>
      <c r="AJ19" s="250">
        <f>AK19</f>
        <v>2.0599863987499996</v>
      </c>
      <c r="AK19" s="272">
        <f>IF('ф.6.4 План_Качество'!$L$10="да",AE19*(1+wrk_f24_k),AE19)</f>
        <v>2.0599863987499996</v>
      </c>
      <c r="AL19" s="267"/>
      <c r="AM19" s="267"/>
      <c r="AN19" s="267"/>
      <c r="AO19" s="267"/>
      <c r="AP19" s="267"/>
      <c r="AQ19" s="267"/>
      <c r="AR19" s="289">
        <f t="shared" si="0"/>
        <v>0</v>
      </c>
      <c r="AS19" s="290"/>
      <c r="AT19" s="267"/>
      <c r="AU19" s="267"/>
      <c r="AV19" s="267"/>
      <c r="AW19" s="267"/>
      <c r="AX19" s="289">
        <f t="shared" si="1"/>
        <v>0</v>
      </c>
      <c r="AY19" s="290"/>
      <c r="AZ19" s="267"/>
      <c r="BA19" s="267"/>
      <c r="BB19" s="267"/>
      <c r="BC19" s="267"/>
      <c r="BD19" s="289">
        <f t="shared" si="2"/>
        <v>0</v>
      </c>
      <c r="BE19" s="290"/>
      <c r="BF19" s="267"/>
      <c r="BG19" s="267"/>
      <c r="BH19" s="267"/>
      <c r="BI19" s="267"/>
      <c r="BJ19" s="289">
        <f t="shared" si="3"/>
        <v>0</v>
      </c>
      <c r="BK19" s="290"/>
    </row>
    <row r="20" spans="7:63" ht="22.5">
      <c r="G20" s="390" t="s">
        <v>139</v>
      </c>
      <c r="H20" s="446" t="s">
        <v>258</v>
      </c>
      <c r="I20" s="185"/>
      <c r="J20" s="270"/>
      <c r="K20" s="185"/>
      <c r="L20" s="456">
        <v>16</v>
      </c>
      <c r="M20" s="456">
        <v>3</v>
      </c>
      <c r="N20" s="287"/>
      <c r="O20" s="278"/>
      <c r="P20" s="278"/>
      <c r="Q20" s="278"/>
      <c r="R20" s="369">
        <f>S20</f>
        <v>3</v>
      </c>
      <c r="S20" s="372">
        <f>M20</f>
        <v>3</v>
      </c>
      <c r="T20" s="267"/>
      <c r="U20" s="267"/>
      <c r="V20" s="267"/>
      <c r="W20" s="267"/>
      <c r="X20" s="369">
        <f>Y20</f>
        <v>3.045</v>
      </c>
      <c r="Y20" s="372">
        <f>IF('ф.6.4 План_Качество'!$L$10="да",S20*(1+wrk_f24_k),S20)</f>
        <v>3.045</v>
      </c>
      <c r="Z20" s="267"/>
      <c r="AA20" s="267"/>
      <c r="AB20" s="267"/>
      <c r="AC20" s="267"/>
      <c r="AD20" s="250">
        <f>AE20</f>
        <v>3.0906749999999996</v>
      </c>
      <c r="AE20" s="272">
        <f>IF('ф.6.4 План_Качество'!$L$10="да",Y20*(1+wrk_f24_k),Y20)</f>
        <v>3.0906749999999996</v>
      </c>
      <c r="AF20" s="267"/>
      <c r="AG20" s="267"/>
      <c r="AH20" s="267"/>
      <c r="AI20" s="267"/>
      <c r="AJ20" s="250">
        <f>AK20</f>
        <v>3.1370351249999993</v>
      </c>
      <c r="AK20" s="272">
        <f>IF('ф.6.4 План_Качество'!$L$10="да",AE20*(1+wrk_f24_k),AE20)</f>
        <v>3.1370351249999993</v>
      </c>
      <c r="AL20" s="267"/>
      <c r="AM20" s="267"/>
      <c r="AN20" s="267"/>
      <c r="AO20" s="267"/>
      <c r="AP20" s="267"/>
      <c r="AQ20" s="267"/>
      <c r="AR20" s="289">
        <f t="shared" si="0"/>
        <v>0</v>
      </c>
      <c r="AS20" s="290"/>
      <c r="AT20" s="267"/>
      <c r="AU20" s="267"/>
      <c r="AV20" s="267"/>
      <c r="AW20" s="267"/>
      <c r="AX20" s="289">
        <f t="shared" si="1"/>
        <v>0</v>
      </c>
      <c r="AY20" s="290"/>
      <c r="AZ20" s="267"/>
      <c r="BA20" s="267"/>
      <c r="BB20" s="267"/>
      <c r="BC20" s="267"/>
      <c r="BD20" s="289">
        <f t="shared" si="2"/>
        <v>0</v>
      </c>
      <c r="BE20" s="290"/>
      <c r="BF20" s="267"/>
      <c r="BG20" s="267"/>
      <c r="BH20" s="267"/>
      <c r="BI20" s="267"/>
      <c r="BJ20" s="289">
        <f t="shared" si="3"/>
        <v>0</v>
      </c>
      <c r="BK20" s="290"/>
    </row>
    <row r="21" spans="7:63" ht="11.25">
      <c r="G21" s="390" t="s">
        <v>138</v>
      </c>
      <c r="H21" s="446" t="s">
        <v>259</v>
      </c>
      <c r="I21" s="185"/>
      <c r="J21" s="270"/>
      <c r="K21" s="185"/>
      <c r="L21" s="456">
        <v>6</v>
      </c>
      <c r="M21" s="456">
        <v>3</v>
      </c>
      <c r="N21" s="287"/>
      <c r="O21" s="278"/>
      <c r="P21" s="278"/>
      <c r="Q21" s="278"/>
      <c r="R21" s="369">
        <f>S21</f>
        <v>2.955</v>
      </c>
      <c r="S21" s="372">
        <f>IF('ф.6.4 План_Качество'!$L$10="да",M21*(1-wrk_f24_k),M21)</f>
        <v>2.955</v>
      </c>
      <c r="T21" s="267"/>
      <c r="U21" s="267"/>
      <c r="V21" s="267"/>
      <c r="W21" s="267"/>
      <c r="X21" s="369">
        <f>Y21</f>
        <v>2.910675</v>
      </c>
      <c r="Y21" s="372">
        <f>IF('ф.6.4 План_Качество'!$L$10="да",S21*(1-wrk_f24_k),S21)</f>
        <v>2.910675</v>
      </c>
      <c r="Z21" s="267"/>
      <c r="AA21" s="267"/>
      <c r="AB21" s="267"/>
      <c r="AC21" s="267"/>
      <c r="AD21" s="250">
        <f>AE21</f>
        <v>2.8670148749999997</v>
      </c>
      <c r="AE21" s="272">
        <f>IF('ф.6.4 План_Качество'!$L$10="да",Y21*(1-wrk_f24_k),Y21)</f>
        <v>2.8670148749999997</v>
      </c>
      <c r="AF21" s="267"/>
      <c r="AG21" s="267"/>
      <c r="AH21" s="267"/>
      <c r="AI21" s="267"/>
      <c r="AJ21" s="250">
        <f>AK21</f>
        <v>2.8240096518749995</v>
      </c>
      <c r="AK21" s="272">
        <f>IF('ф.6.4 План_Качество'!$L$10="да",AE21*(1-wrk_f24_k),AE21)</f>
        <v>2.8240096518749995</v>
      </c>
      <c r="AL21" s="267"/>
      <c r="AM21" s="267"/>
      <c r="AN21" s="267"/>
      <c r="AO21" s="267"/>
      <c r="AP21" s="267"/>
      <c r="AQ21" s="267"/>
      <c r="AR21" s="289">
        <f t="shared" si="0"/>
        <v>0</v>
      </c>
      <c r="AS21" s="290"/>
      <c r="AT21" s="267"/>
      <c r="AU21" s="267"/>
      <c r="AV21" s="267"/>
      <c r="AW21" s="267"/>
      <c r="AX21" s="289">
        <f t="shared" si="1"/>
        <v>0</v>
      </c>
      <c r="AY21" s="290"/>
      <c r="AZ21" s="267"/>
      <c r="BA21" s="267"/>
      <c r="BB21" s="267"/>
      <c r="BC21" s="267"/>
      <c r="BD21" s="289">
        <f t="shared" si="2"/>
        <v>0</v>
      </c>
      <c r="BE21" s="290"/>
      <c r="BF21" s="267"/>
      <c r="BG21" s="267"/>
      <c r="BH21" s="267"/>
      <c r="BI21" s="267"/>
      <c r="BJ21" s="289">
        <f t="shared" si="3"/>
        <v>0</v>
      </c>
      <c r="BK21" s="290"/>
    </row>
    <row r="22" spans="7:63" ht="22.5">
      <c r="G22" s="390" t="s">
        <v>137</v>
      </c>
      <c r="H22" s="446" t="s">
        <v>260</v>
      </c>
      <c r="I22" s="185"/>
      <c r="J22" s="270"/>
      <c r="K22" s="185"/>
      <c r="L22" s="456">
        <v>5</v>
      </c>
      <c r="M22" s="456">
        <v>2</v>
      </c>
      <c r="N22" s="287"/>
      <c r="O22" s="278"/>
      <c r="P22" s="278"/>
      <c r="Q22" s="278"/>
      <c r="R22" s="372">
        <f>S22</f>
        <v>1.97</v>
      </c>
      <c r="S22" s="372">
        <f>IF('ф.6.4 План_Качество'!$L$10="да",M22*(1-wrk_f24_k),M22)</f>
        <v>1.97</v>
      </c>
      <c r="T22" s="267"/>
      <c r="U22" s="267"/>
      <c r="V22" s="267"/>
      <c r="W22" s="267"/>
      <c r="X22" s="372">
        <f>Y22</f>
        <v>1.94045</v>
      </c>
      <c r="Y22" s="372">
        <f>IF('ф.6.4 План_Качество'!$L$10="да",S22*(1-wrk_f24_k),S22)</f>
        <v>1.94045</v>
      </c>
      <c r="Z22" s="267"/>
      <c r="AA22" s="267"/>
      <c r="AB22" s="267"/>
      <c r="AC22" s="267"/>
      <c r="AD22" s="289">
        <f>AE22</f>
        <v>1.91134325</v>
      </c>
      <c r="AE22" s="272">
        <f>IF('ф.6.4 План_Качество'!$L$10="да",Y22*(1-wrk_f24_k),Y22)</f>
        <v>1.91134325</v>
      </c>
      <c r="AF22" s="267"/>
      <c r="AG22" s="267"/>
      <c r="AH22" s="267"/>
      <c r="AI22" s="267"/>
      <c r="AJ22" s="289">
        <f>AK22</f>
        <v>1.88267310125</v>
      </c>
      <c r="AK22" s="272">
        <f>IF('ф.6.4 План_Качество'!$L$10="да",AE22*(1-wrk_f24_k),AE22)</f>
        <v>1.88267310125</v>
      </c>
      <c r="AL22" s="267"/>
      <c r="AM22" s="267"/>
      <c r="AN22" s="267"/>
      <c r="AO22" s="267"/>
      <c r="AP22" s="267"/>
      <c r="AQ22" s="267"/>
      <c r="AR22" s="289">
        <f t="shared" si="0"/>
        <v>0</v>
      </c>
      <c r="AS22" s="290"/>
      <c r="AT22" s="267"/>
      <c r="AU22" s="267"/>
      <c r="AV22" s="267"/>
      <c r="AW22" s="267"/>
      <c r="AX22" s="289">
        <f t="shared" si="1"/>
        <v>0</v>
      </c>
      <c r="AY22" s="290"/>
      <c r="AZ22" s="267"/>
      <c r="BA22" s="267"/>
      <c r="BB22" s="267"/>
      <c r="BC22" s="267"/>
      <c r="BD22" s="289">
        <f t="shared" si="2"/>
        <v>0</v>
      </c>
      <c r="BE22" s="290"/>
      <c r="BF22" s="267"/>
      <c r="BG22" s="267"/>
      <c r="BH22" s="267"/>
      <c r="BI22" s="267"/>
      <c r="BJ22" s="289">
        <f t="shared" si="3"/>
        <v>0</v>
      </c>
      <c r="BK22" s="290"/>
    </row>
    <row r="23" spans="7:63" ht="11.25">
      <c r="G23" s="390" t="s">
        <v>81</v>
      </c>
      <c r="H23" s="445" t="s">
        <v>232</v>
      </c>
      <c r="I23" s="183"/>
      <c r="J23" s="270"/>
      <c r="K23" s="183"/>
      <c r="L23" s="458"/>
      <c r="M23" s="458"/>
      <c r="N23" s="287"/>
      <c r="O23" s="278"/>
      <c r="P23" s="278"/>
      <c r="Q23" s="278"/>
      <c r="R23" s="371"/>
      <c r="S23" s="371"/>
      <c r="T23" s="267"/>
      <c r="U23" s="267"/>
      <c r="V23" s="267"/>
      <c r="W23" s="267"/>
      <c r="X23" s="371"/>
      <c r="Y23" s="371"/>
      <c r="Z23" s="267"/>
      <c r="AA23" s="267"/>
      <c r="AB23" s="267"/>
      <c r="AC23" s="267"/>
      <c r="AD23" s="277"/>
      <c r="AE23" s="277"/>
      <c r="AF23" s="267"/>
      <c r="AG23" s="267"/>
      <c r="AH23" s="267"/>
      <c r="AI23" s="267"/>
      <c r="AJ23" s="277"/>
      <c r="AK23" s="277"/>
      <c r="AL23" s="267"/>
      <c r="AM23" s="267"/>
      <c r="AN23" s="267"/>
      <c r="AO23" s="267"/>
      <c r="AP23" s="267"/>
      <c r="AQ23" s="267"/>
      <c r="AR23" s="286"/>
      <c r="AS23" s="286"/>
      <c r="AT23" s="267"/>
      <c r="AU23" s="267"/>
      <c r="AV23" s="267"/>
      <c r="AW23" s="267"/>
      <c r="AX23" s="286"/>
      <c r="AY23" s="286"/>
      <c r="AZ23" s="267"/>
      <c r="BA23" s="267"/>
      <c r="BB23" s="267"/>
      <c r="BC23" s="267"/>
      <c r="BD23" s="286"/>
      <c r="BE23" s="286"/>
      <c r="BF23" s="267"/>
      <c r="BG23" s="267"/>
      <c r="BH23" s="267"/>
      <c r="BI23" s="267"/>
      <c r="BJ23" s="286"/>
      <c r="BK23" s="286"/>
    </row>
    <row r="24" spans="7:63" ht="22.5">
      <c r="G24" s="390" t="s">
        <v>136</v>
      </c>
      <c r="H24" s="446" t="s">
        <v>171</v>
      </c>
      <c r="I24" s="185"/>
      <c r="J24" s="270"/>
      <c r="K24" s="185"/>
      <c r="L24" s="456">
        <v>24</v>
      </c>
      <c r="M24" s="456">
        <v>30</v>
      </c>
      <c r="N24" s="287"/>
      <c r="O24" s="278"/>
      <c r="P24" s="278"/>
      <c r="Q24" s="278"/>
      <c r="R24" s="372">
        <f>S24</f>
        <v>29.55</v>
      </c>
      <c r="S24" s="372">
        <f>IF('ф.6.4 План_Качество'!$L$10="да",M24*(1-wrk_f24_k),M24)</f>
        <v>29.55</v>
      </c>
      <c r="T24" s="267"/>
      <c r="U24" s="267"/>
      <c r="V24" s="267"/>
      <c r="W24" s="267"/>
      <c r="X24" s="372">
        <f>Y24</f>
        <v>29.993249999999996</v>
      </c>
      <c r="Y24" s="372">
        <f>IF('ф.6.4 План_Качество'!$L$10="да",S24*(1+wrk_f24_k),S24)</f>
        <v>29.993249999999996</v>
      </c>
      <c r="Z24" s="267"/>
      <c r="AA24" s="267"/>
      <c r="AB24" s="267"/>
      <c r="AC24" s="267"/>
      <c r="AD24" s="289">
        <f>AE24</f>
        <v>30.44314874999999</v>
      </c>
      <c r="AE24" s="272">
        <f>IF('ф.6.4 План_Качество'!$L$10="да",Y24*(1+wrk_f24_k),Y24)</f>
        <v>30.44314874999999</v>
      </c>
      <c r="AF24" s="267"/>
      <c r="AG24" s="267"/>
      <c r="AH24" s="267"/>
      <c r="AI24" s="267"/>
      <c r="AJ24" s="289">
        <f>AK24</f>
        <v>30.899795981249987</v>
      </c>
      <c r="AK24" s="272">
        <f>IF('ф.6.4 План_Качество'!$L$10="да",AE24*(1+wrk_f24_k),AE24)</f>
        <v>30.899795981249987</v>
      </c>
      <c r="AL24" s="267"/>
      <c r="AM24" s="267"/>
      <c r="AN24" s="267"/>
      <c r="AO24" s="267"/>
      <c r="AP24" s="267"/>
      <c r="AQ24" s="267"/>
      <c r="AR24" s="289">
        <f t="shared" si="0"/>
        <v>0</v>
      </c>
      <c r="AS24" s="290"/>
      <c r="AT24" s="267"/>
      <c r="AU24" s="267"/>
      <c r="AV24" s="267"/>
      <c r="AW24" s="267"/>
      <c r="AX24" s="289">
        <f t="shared" si="1"/>
        <v>0</v>
      </c>
      <c r="AY24" s="290"/>
      <c r="AZ24" s="267"/>
      <c r="BA24" s="267"/>
      <c r="BB24" s="267"/>
      <c r="BC24" s="267"/>
      <c r="BD24" s="289">
        <f>BE24</f>
        <v>0</v>
      </c>
      <c r="BE24" s="290"/>
      <c r="BF24" s="267"/>
      <c r="BG24" s="267"/>
      <c r="BH24" s="267"/>
      <c r="BI24" s="267"/>
      <c r="BJ24" s="289">
        <f>BK24</f>
        <v>0</v>
      </c>
      <c r="BK24" s="290"/>
    </row>
    <row r="25" spans="7:63" ht="33.75">
      <c r="G25" s="390" t="s">
        <v>165</v>
      </c>
      <c r="H25" s="446" t="s">
        <v>228</v>
      </c>
      <c r="I25" s="185"/>
      <c r="J25" s="270"/>
      <c r="K25" s="185"/>
      <c r="L25" s="458"/>
      <c r="M25" s="458"/>
      <c r="N25" s="287"/>
      <c r="O25" s="278"/>
      <c r="P25" s="278"/>
      <c r="Q25" s="278"/>
      <c r="R25" s="371"/>
      <c r="S25" s="371"/>
      <c r="T25" s="267"/>
      <c r="U25" s="267"/>
      <c r="V25" s="267"/>
      <c r="W25" s="267"/>
      <c r="X25" s="371"/>
      <c r="Y25" s="371"/>
      <c r="Z25" s="267"/>
      <c r="AA25" s="267"/>
      <c r="AB25" s="267"/>
      <c r="AC25" s="267"/>
      <c r="AD25" s="277"/>
      <c r="AE25" s="277"/>
      <c r="AF25" s="267"/>
      <c r="AG25" s="267"/>
      <c r="AH25" s="267"/>
      <c r="AI25" s="267"/>
      <c r="AJ25" s="277"/>
      <c r="AK25" s="277"/>
      <c r="AL25" s="267"/>
      <c r="AM25" s="267"/>
      <c r="AN25" s="267"/>
      <c r="AO25" s="267"/>
      <c r="AP25" s="267"/>
      <c r="AQ25" s="267"/>
      <c r="AR25" s="289">
        <f t="shared" si="0"/>
        <v>0</v>
      </c>
      <c r="AS25" s="288"/>
      <c r="AT25" s="267"/>
      <c r="AU25" s="267"/>
      <c r="AV25" s="267"/>
      <c r="AW25" s="267"/>
      <c r="AX25" s="289">
        <f t="shared" si="1"/>
        <v>0</v>
      </c>
      <c r="AY25" s="288"/>
      <c r="AZ25" s="267"/>
      <c r="BA25" s="267"/>
      <c r="BB25" s="267"/>
      <c r="BC25" s="267"/>
      <c r="BD25" s="289">
        <f>BE25</f>
        <v>0</v>
      </c>
      <c r="BE25" s="288"/>
      <c r="BF25" s="267"/>
      <c r="BG25" s="267"/>
      <c r="BH25" s="267"/>
      <c r="BI25" s="267"/>
      <c r="BJ25" s="289">
        <f>BK25</f>
        <v>0</v>
      </c>
      <c r="BK25" s="288"/>
    </row>
    <row r="26" spans="7:63" ht="11.25">
      <c r="G26" s="390" t="s">
        <v>191</v>
      </c>
      <c r="H26" s="447" t="s">
        <v>249</v>
      </c>
      <c r="I26" s="186"/>
      <c r="J26" s="270"/>
      <c r="K26" s="186"/>
      <c r="L26" s="456">
        <v>0</v>
      </c>
      <c r="M26" s="456">
        <v>0</v>
      </c>
      <c r="N26" s="287"/>
      <c r="O26" s="278"/>
      <c r="P26" s="279"/>
      <c r="Q26" s="279"/>
      <c r="R26" s="372">
        <f>S26</f>
        <v>0</v>
      </c>
      <c r="S26" s="372">
        <f>IF('ф.6.4 План_Качество'!$L$10="да",M26*(1+wrk_f24_k),M26)</f>
        <v>0</v>
      </c>
      <c r="T26" s="267"/>
      <c r="U26" s="267"/>
      <c r="V26" s="267"/>
      <c r="W26" s="267"/>
      <c r="X26" s="372">
        <f>Y26</f>
        <v>0</v>
      </c>
      <c r="Y26" s="372">
        <f>IF('ф.6.4 План_Качество'!$L$10="да",S26*(1-wrk_f24_k),S26)</f>
        <v>0</v>
      </c>
      <c r="Z26" s="267"/>
      <c r="AA26" s="267"/>
      <c r="AB26" s="267"/>
      <c r="AC26" s="267"/>
      <c r="AD26" s="289">
        <f>AE26</f>
        <v>0</v>
      </c>
      <c r="AE26" s="272">
        <f>IF('ф.6.4 План_Качество'!$L$10="да",Y26*(1-wrk_f24_k),Y26)</f>
        <v>0</v>
      </c>
      <c r="AF26" s="267"/>
      <c r="AG26" s="267"/>
      <c r="AH26" s="267"/>
      <c r="AI26" s="267"/>
      <c r="AJ26" s="289">
        <f>AK26</f>
        <v>0</v>
      </c>
      <c r="AK26" s="272">
        <f>IF('ф.6.4 План_Качество'!$L$10="да",AE26*(1-wrk_f24_k),AE26)</f>
        <v>0</v>
      </c>
      <c r="AL26" s="267"/>
      <c r="AM26" s="267"/>
      <c r="AN26" s="267"/>
      <c r="AO26" s="267"/>
      <c r="AP26" s="267"/>
      <c r="AQ26" s="267"/>
      <c r="AR26" s="289">
        <f t="shared" si="0"/>
        <v>0</v>
      </c>
      <c r="AS26" s="290"/>
      <c r="AT26" s="267"/>
      <c r="AU26" s="267"/>
      <c r="AV26" s="267"/>
      <c r="AW26" s="267"/>
      <c r="AX26" s="289">
        <f t="shared" si="1"/>
        <v>0</v>
      </c>
      <c r="AY26" s="290"/>
      <c r="AZ26" s="267"/>
      <c r="BA26" s="267"/>
      <c r="BB26" s="267"/>
      <c r="BC26" s="267"/>
      <c r="BD26" s="289">
        <f>BE26</f>
        <v>0</v>
      </c>
      <c r="BE26" s="290"/>
      <c r="BF26" s="267"/>
      <c r="BG26" s="267"/>
      <c r="BH26" s="267"/>
      <c r="BI26" s="267"/>
      <c r="BJ26" s="289">
        <f>BK26</f>
        <v>0</v>
      </c>
      <c r="BK26" s="290"/>
    </row>
    <row r="27" spans="7:63" ht="11.25">
      <c r="G27" s="390" t="s">
        <v>192</v>
      </c>
      <c r="H27" s="447" t="s">
        <v>248</v>
      </c>
      <c r="I27" s="186"/>
      <c r="J27" s="270"/>
      <c r="K27" s="186"/>
      <c r="L27" s="456">
        <v>0</v>
      </c>
      <c r="M27" s="456">
        <v>0</v>
      </c>
      <c r="N27" s="287"/>
      <c r="O27" s="278"/>
      <c r="P27" s="278"/>
      <c r="Q27" s="278"/>
      <c r="R27" s="372">
        <f>S27</f>
        <v>0</v>
      </c>
      <c r="S27" s="372">
        <f>IF('ф.6.4 План_Качество'!$L$10="да",M27*(1+wrk_f24_k),M27)</f>
        <v>0</v>
      </c>
      <c r="T27" s="267"/>
      <c r="U27" s="267"/>
      <c r="V27" s="267"/>
      <c r="W27" s="267"/>
      <c r="X27" s="372">
        <f>Y27</f>
        <v>0</v>
      </c>
      <c r="Y27" s="372">
        <f>IF('ф.6.4 План_Качество'!$L$10="да",S27*(1-wrk_f24_k),S27)</f>
        <v>0</v>
      </c>
      <c r="Z27" s="267"/>
      <c r="AA27" s="267"/>
      <c r="AB27" s="267"/>
      <c r="AC27" s="267"/>
      <c r="AD27" s="289">
        <f>AE27</f>
        <v>0</v>
      </c>
      <c r="AE27" s="272">
        <f>IF('ф.6.4 План_Качество'!$L$10="да",Y27*(1-wrk_f24_k),Y27)</f>
        <v>0</v>
      </c>
      <c r="AF27" s="267"/>
      <c r="AG27" s="267"/>
      <c r="AH27" s="267"/>
      <c r="AI27" s="267"/>
      <c r="AJ27" s="289">
        <f>AK27</f>
        <v>0</v>
      </c>
      <c r="AK27" s="272">
        <f>IF('ф.6.4 План_Качество'!$L$10="да",AE27*(1-wrk_f24_k),AE27)</f>
        <v>0</v>
      </c>
      <c r="AL27" s="267"/>
      <c r="AM27" s="267"/>
      <c r="AN27" s="267"/>
      <c r="AO27" s="267"/>
      <c r="AP27" s="267"/>
      <c r="AQ27" s="267"/>
      <c r="AR27" s="289">
        <f t="shared" si="0"/>
        <v>0</v>
      </c>
      <c r="AS27" s="290"/>
      <c r="AT27" s="267"/>
      <c r="AU27" s="267"/>
      <c r="AV27" s="267"/>
      <c r="AW27" s="267"/>
      <c r="AX27" s="289">
        <f t="shared" si="1"/>
        <v>0</v>
      </c>
      <c r="AY27" s="290"/>
      <c r="AZ27" s="267"/>
      <c r="BA27" s="267"/>
      <c r="BB27" s="267"/>
      <c r="BC27" s="267"/>
      <c r="BD27" s="289">
        <f>BE27</f>
        <v>0</v>
      </c>
      <c r="BE27" s="290"/>
      <c r="BF27" s="267"/>
      <c r="BG27" s="267"/>
      <c r="BH27" s="267"/>
      <c r="BI27" s="267"/>
      <c r="BJ27" s="289">
        <f>BK27</f>
        <v>0</v>
      </c>
      <c r="BK27" s="290"/>
    </row>
    <row r="28" spans="7:63" ht="11.25">
      <c r="G28" s="390" t="s">
        <v>193</v>
      </c>
      <c r="H28" s="447" t="s">
        <v>250</v>
      </c>
      <c r="I28" s="186"/>
      <c r="J28" s="270"/>
      <c r="K28" s="186"/>
      <c r="L28" s="456">
        <v>0</v>
      </c>
      <c r="M28" s="456">
        <v>0</v>
      </c>
      <c r="N28" s="287"/>
      <c r="O28" s="278"/>
      <c r="P28" s="278"/>
      <c r="Q28" s="278"/>
      <c r="R28" s="372">
        <f>S28</f>
        <v>0</v>
      </c>
      <c r="S28" s="372">
        <f>IF('ф.6.4 План_Качество'!$L$10="да",M28*(1+wrk_f24_k),M28)</f>
        <v>0</v>
      </c>
      <c r="T28" s="267"/>
      <c r="U28" s="267"/>
      <c r="V28" s="267"/>
      <c r="W28" s="267"/>
      <c r="X28" s="372">
        <f>Y28</f>
        <v>0</v>
      </c>
      <c r="Y28" s="372">
        <f>IF('ф.6.4 План_Качество'!$L$10="да",S28*(1-wrk_f24_k),S28)</f>
        <v>0</v>
      </c>
      <c r="Z28" s="267"/>
      <c r="AA28" s="267"/>
      <c r="AB28" s="267"/>
      <c r="AC28" s="267"/>
      <c r="AD28" s="289">
        <f>AE28</f>
        <v>0</v>
      </c>
      <c r="AE28" s="272">
        <f>IF('ф.6.4 План_Качество'!$L$10="да",Y28*(1-wrk_f24_k),Y28)</f>
        <v>0</v>
      </c>
      <c r="AF28" s="267"/>
      <c r="AG28" s="267"/>
      <c r="AH28" s="267"/>
      <c r="AI28" s="267"/>
      <c r="AJ28" s="289">
        <f>AK28</f>
        <v>0</v>
      </c>
      <c r="AK28" s="272">
        <f>IF('ф.6.4 План_Качество'!$L$10="да",AE28*(1-wrk_f24_k),AE28)</f>
        <v>0</v>
      </c>
      <c r="AL28" s="267"/>
      <c r="AM28" s="267"/>
      <c r="AN28" s="267"/>
      <c r="AO28" s="267"/>
      <c r="AP28" s="267"/>
      <c r="AQ28" s="267"/>
      <c r="AR28" s="289">
        <f t="shared" si="0"/>
        <v>0</v>
      </c>
      <c r="AS28" s="290"/>
      <c r="AT28" s="267"/>
      <c r="AU28" s="267"/>
      <c r="AV28" s="267"/>
      <c r="AW28" s="267"/>
      <c r="AX28" s="289">
        <f t="shared" si="1"/>
        <v>0</v>
      </c>
      <c r="AY28" s="290"/>
      <c r="AZ28" s="267"/>
      <c r="BA28" s="267"/>
      <c r="BB28" s="267"/>
      <c r="BC28" s="267"/>
      <c r="BD28" s="289">
        <f>BE28</f>
        <v>0</v>
      </c>
      <c r="BE28" s="290"/>
      <c r="BF28" s="267"/>
      <c r="BG28" s="267"/>
      <c r="BH28" s="267"/>
      <c r="BI28" s="267"/>
      <c r="BJ28" s="289">
        <f>BK28</f>
        <v>0</v>
      </c>
      <c r="BK28" s="290"/>
    </row>
    <row r="29" spans="7:63" ht="11.25">
      <c r="G29" s="390" t="s">
        <v>124</v>
      </c>
      <c r="H29" s="448" t="s">
        <v>173</v>
      </c>
      <c r="I29" s="308"/>
      <c r="J29" s="270"/>
      <c r="K29" s="308"/>
      <c r="L29" s="458"/>
      <c r="M29" s="458"/>
      <c r="N29" s="287"/>
      <c r="O29" s="278"/>
      <c r="P29" s="278"/>
      <c r="Q29" s="278"/>
      <c r="R29" s="371"/>
      <c r="S29" s="371"/>
      <c r="T29" s="267"/>
      <c r="U29" s="267"/>
      <c r="V29" s="267"/>
      <c r="W29" s="267"/>
      <c r="X29" s="371"/>
      <c r="Y29" s="371"/>
      <c r="Z29" s="267"/>
      <c r="AA29" s="267"/>
      <c r="AB29" s="267"/>
      <c r="AC29" s="267"/>
      <c r="AD29" s="277"/>
      <c r="AE29" s="277"/>
      <c r="AF29" s="267"/>
      <c r="AG29" s="267"/>
      <c r="AH29" s="267"/>
      <c r="AI29" s="267"/>
      <c r="AJ29" s="277"/>
      <c r="AK29" s="277"/>
      <c r="AL29" s="267"/>
      <c r="AM29" s="267"/>
      <c r="AN29" s="267"/>
      <c r="AO29" s="267"/>
      <c r="AP29" s="267"/>
      <c r="AQ29" s="267"/>
      <c r="AR29" s="286"/>
      <c r="AS29" s="286"/>
      <c r="AT29" s="267"/>
      <c r="AU29" s="267"/>
      <c r="AV29" s="267"/>
      <c r="AW29" s="267"/>
      <c r="AX29" s="286"/>
      <c r="AY29" s="286"/>
      <c r="AZ29" s="267"/>
      <c r="BA29" s="267"/>
      <c r="BB29" s="267"/>
      <c r="BC29" s="267"/>
      <c r="BD29" s="286"/>
      <c r="BE29" s="286"/>
      <c r="BF29" s="267"/>
      <c r="BG29" s="267"/>
      <c r="BH29" s="267"/>
      <c r="BI29" s="267"/>
      <c r="BJ29" s="286"/>
      <c r="BK29" s="286"/>
    </row>
    <row r="30" spans="7:63" ht="28.5" customHeight="1">
      <c r="G30" s="390" t="s">
        <v>135</v>
      </c>
      <c r="H30" s="449" t="s">
        <v>175</v>
      </c>
      <c r="I30" s="185"/>
      <c r="J30" s="270"/>
      <c r="K30" s="185"/>
      <c r="L30" s="456">
        <v>0</v>
      </c>
      <c r="M30" s="456">
        <v>0</v>
      </c>
      <c r="N30" s="287"/>
      <c r="O30" s="278"/>
      <c r="P30" s="278"/>
      <c r="Q30" s="278"/>
      <c r="R30" s="369">
        <f>S30</f>
        <v>0</v>
      </c>
      <c r="S30" s="372">
        <f>IF('ф.6.4 План_Качество'!$L$10="да",M30*(1-wrk_f24_k),M30)</f>
        <v>0</v>
      </c>
      <c r="T30" s="267"/>
      <c r="U30" s="267"/>
      <c r="V30" s="267"/>
      <c r="W30" s="267"/>
      <c r="X30" s="369">
        <f>Y30</f>
        <v>0</v>
      </c>
      <c r="Y30" s="372">
        <f>IF('ф.6.4 План_Качество'!$L$10="да",S30*(1+wrk_f24_k),S30)</f>
        <v>0</v>
      </c>
      <c r="Z30" s="267"/>
      <c r="AA30" s="267"/>
      <c r="AB30" s="267"/>
      <c r="AC30" s="267"/>
      <c r="AD30" s="250">
        <f>AE30</f>
        <v>0</v>
      </c>
      <c r="AE30" s="272">
        <f>IF('ф.6.4 План_Качество'!$L$10="да",Y30*(1+wrk_f24_k),Y30)</f>
        <v>0</v>
      </c>
      <c r="AF30" s="267"/>
      <c r="AG30" s="267"/>
      <c r="AH30" s="267"/>
      <c r="AI30" s="267"/>
      <c r="AJ30" s="250">
        <f>AK30</f>
        <v>0</v>
      </c>
      <c r="AK30" s="272">
        <f>IF('ф.6.4 План_Качество'!$L$10="да",AE30*(1+wrk_f24_k),AE30)</f>
        <v>0</v>
      </c>
      <c r="AL30" s="267"/>
      <c r="AM30" s="267"/>
      <c r="AN30" s="267"/>
      <c r="AO30" s="267"/>
      <c r="AP30" s="267"/>
      <c r="AQ30" s="267"/>
      <c r="AR30" s="289">
        <f t="shared" si="0"/>
        <v>0</v>
      </c>
      <c r="AS30" s="290"/>
      <c r="AT30" s="267"/>
      <c r="AU30" s="267"/>
      <c r="AV30" s="267"/>
      <c r="AW30" s="267"/>
      <c r="AX30" s="289">
        <f t="shared" si="1"/>
        <v>0</v>
      </c>
      <c r="AY30" s="290"/>
      <c r="AZ30" s="267"/>
      <c r="BA30" s="267"/>
      <c r="BB30" s="267"/>
      <c r="BC30" s="267"/>
      <c r="BD30" s="289">
        <f>BE30</f>
        <v>0</v>
      </c>
      <c r="BE30" s="290"/>
      <c r="BF30" s="267"/>
      <c r="BG30" s="267"/>
      <c r="BH30" s="267"/>
      <c r="BI30" s="267"/>
      <c r="BJ30" s="289">
        <f>BK30</f>
        <v>0</v>
      </c>
      <c r="BK30" s="290"/>
    </row>
    <row r="31" spans="7:63" ht="11.25" hidden="1">
      <c r="G31" s="450"/>
      <c r="H31" s="451"/>
      <c r="I31" s="186"/>
      <c r="J31" s="270"/>
      <c r="K31" s="186"/>
      <c r="L31" s="458"/>
      <c r="M31" s="458"/>
      <c r="N31" s="441"/>
      <c r="O31" s="278"/>
      <c r="P31" s="278"/>
      <c r="Q31" s="278"/>
      <c r="R31" s="371"/>
      <c r="S31" s="371"/>
      <c r="T31" s="267"/>
      <c r="U31" s="267"/>
      <c r="V31" s="267"/>
      <c r="W31" s="267"/>
      <c r="X31" s="371"/>
      <c r="Y31" s="371"/>
      <c r="Z31" s="267"/>
      <c r="AA31" s="267"/>
      <c r="AB31" s="267"/>
      <c r="AC31" s="267"/>
      <c r="AD31" s="286"/>
      <c r="AE31" s="277"/>
      <c r="AF31" s="267"/>
      <c r="AG31" s="267"/>
      <c r="AH31" s="267"/>
      <c r="AI31" s="267"/>
      <c r="AJ31" s="286"/>
      <c r="AK31" s="277"/>
      <c r="AL31" s="267"/>
      <c r="AM31" s="267"/>
      <c r="AN31" s="267"/>
      <c r="AO31" s="267"/>
      <c r="AP31" s="267"/>
      <c r="AQ31" s="267"/>
      <c r="AR31" s="286"/>
      <c r="AS31" s="286"/>
      <c r="AT31" s="267"/>
      <c r="AU31" s="267"/>
      <c r="AV31" s="267"/>
      <c r="AW31" s="267"/>
      <c r="AX31" s="286"/>
      <c r="AY31" s="286"/>
      <c r="AZ31" s="267"/>
      <c r="BA31" s="267"/>
      <c r="BB31" s="267"/>
      <c r="BC31" s="267"/>
      <c r="BD31" s="286"/>
      <c r="BE31" s="286"/>
      <c r="BF31" s="267"/>
      <c r="BG31" s="267"/>
      <c r="BH31" s="267"/>
      <c r="BI31" s="267"/>
      <c r="BJ31" s="286"/>
      <c r="BK31" s="286"/>
    </row>
    <row r="32" spans="7:63" ht="11.25" hidden="1">
      <c r="G32" s="450"/>
      <c r="H32" s="452"/>
      <c r="I32" s="179"/>
      <c r="J32" s="270"/>
      <c r="K32" s="179"/>
      <c r="L32" s="458"/>
      <c r="M32" s="458"/>
      <c r="N32" s="441"/>
      <c r="O32" s="278"/>
      <c r="P32" s="278"/>
      <c r="Q32" s="278"/>
      <c r="R32" s="371"/>
      <c r="S32" s="371"/>
      <c r="T32" s="267"/>
      <c r="U32" s="267"/>
      <c r="V32" s="267"/>
      <c r="W32" s="267"/>
      <c r="X32" s="371"/>
      <c r="Y32" s="371"/>
      <c r="Z32" s="267"/>
      <c r="AA32" s="267"/>
      <c r="AB32" s="267"/>
      <c r="AC32" s="267"/>
      <c r="AD32" s="286"/>
      <c r="AE32" s="277"/>
      <c r="AF32" s="267"/>
      <c r="AG32" s="267"/>
      <c r="AH32" s="267"/>
      <c r="AI32" s="267"/>
      <c r="AJ32" s="286"/>
      <c r="AK32" s="277"/>
      <c r="AL32" s="267"/>
      <c r="AM32" s="267"/>
      <c r="AN32" s="267"/>
      <c r="AO32" s="267"/>
      <c r="AP32" s="267"/>
      <c r="AQ32" s="267"/>
      <c r="AR32" s="286"/>
      <c r="AS32" s="286"/>
      <c r="AT32" s="267"/>
      <c r="AU32" s="267"/>
      <c r="AV32" s="267"/>
      <c r="AW32" s="267"/>
      <c r="AX32" s="286"/>
      <c r="AY32" s="286"/>
      <c r="AZ32" s="267"/>
      <c r="BA32" s="267"/>
      <c r="BB32" s="267"/>
      <c r="BC32" s="267"/>
      <c r="BD32" s="286"/>
      <c r="BE32" s="286"/>
      <c r="BF32" s="267"/>
      <c r="BG32" s="267"/>
      <c r="BH32" s="267"/>
      <c r="BI32" s="267"/>
      <c r="BJ32" s="286"/>
      <c r="BK32" s="286"/>
    </row>
    <row r="33" spans="7:63" ht="38.25" customHeight="1" hidden="1">
      <c r="G33" s="450"/>
      <c r="H33" s="451"/>
      <c r="I33" s="186"/>
      <c r="J33" s="270"/>
      <c r="K33" s="186"/>
      <c r="L33" s="458"/>
      <c r="M33" s="458"/>
      <c r="N33" s="285"/>
      <c r="O33" s="278"/>
      <c r="P33" s="279"/>
      <c r="Q33" s="279"/>
      <c r="R33" s="371"/>
      <c r="S33" s="371"/>
      <c r="T33" s="267"/>
      <c r="U33" s="267"/>
      <c r="V33" s="267"/>
      <c r="W33" s="267"/>
      <c r="X33" s="371"/>
      <c r="Y33" s="371"/>
      <c r="Z33" s="267"/>
      <c r="AA33" s="267"/>
      <c r="AB33" s="267"/>
      <c r="AC33" s="267"/>
      <c r="AD33" s="286"/>
      <c r="AE33" s="277"/>
      <c r="AF33" s="267"/>
      <c r="AG33" s="267"/>
      <c r="AH33" s="267"/>
      <c r="AI33" s="267"/>
      <c r="AJ33" s="286"/>
      <c r="AK33" s="277"/>
      <c r="AL33" s="267"/>
      <c r="AM33" s="267"/>
      <c r="AN33" s="267"/>
      <c r="AO33" s="267"/>
      <c r="AP33" s="267"/>
      <c r="AQ33" s="267"/>
      <c r="AR33" s="286"/>
      <c r="AS33" s="286"/>
      <c r="AT33" s="267"/>
      <c r="AU33" s="267"/>
      <c r="AV33" s="267"/>
      <c r="AW33" s="267"/>
      <c r="AX33" s="286"/>
      <c r="AY33" s="286"/>
      <c r="AZ33" s="267"/>
      <c r="BA33" s="267"/>
      <c r="BB33" s="267"/>
      <c r="BC33" s="267"/>
      <c r="BD33" s="286"/>
      <c r="BE33" s="286"/>
      <c r="BF33" s="267"/>
      <c r="BG33" s="267"/>
      <c r="BH33" s="267"/>
      <c r="BI33" s="267"/>
      <c r="BJ33" s="286"/>
      <c r="BK33" s="286"/>
    </row>
    <row r="34" spans="7:63" ht="11.25" hidden="1">
      <c r="G34" s="450"/>
      <c r="H34" s="451"/>
      <c r="I34" s="186"/>
      <c r="J34" s="270"/>
      <c r="K34" s="186"/>
      <c r="L34" s="458"/>
      <c r="M34" s="458"/>
      <c r="N34" s="441"/>
      <c r="O34" s="278"/>
      <c r="P34" s="278"/>
      <c r="Q34" s="278"/>
      <c r="R34" s="371"/>
      <c r="S34" s="371"/>
      <c r="T34" s="267"/>
      <c r="U34" s="267"/>
      <c r="V34" s="267"/>
      <c r="W34" s="267"/>
      <c r="X34" s="371"/>
      <c r="Y34" s="371"/>
      <c r="Z34" s="267"/>
      <c r="AA34" s="267"/>
      <c r="AB34" s="267"/>
      <c r="AC34" s="267"/>
      <c r="AD34" s="286"/>
      <c r="AE34" s="277"/>
      <c r="AF34" s="267"/>
      <c r="AG34" s="267"/>
      <c r="AH34" s="267"/>
      <c r="AI34" s="267"/>
      <c r="AJ34" s="286"/>
      <c r="AK34" s="277"/>
      <c r="AL34" s="267"/>
      <c r="AM34" s="267"/>
      <c r="AN34" s="267"/>
      <c r="AO34" s="267"/>
      <c r="AP34" s="267"/>
      <c r="AQ34" s="267"/>
      <c r="AR34" s="286"/>
      <c r="AS34" s="286"/>
      <c r="AT34" s="267"/>
      <c r="AU34" s="267"/>
      <c r="AV34" s="267"/>
      <c r="AW34" s="267"/>
      <c r="AX34" s="286"/>
      <c r="AY34" s="286"/>
      <c r="AZ34" s="267"/>
      <c r="BA34" s="267"/>
      <c r="BB34" s="267"/>
      <c r="BC34" s="267"/>
      <c r="BD34" s="286"/>
      <c r="BE34" s="286"/>
      <c r="BF34" s="267"/>
      <c r="BG34" s="267"/>
      <c r="BH34" s="267"/>
      <c r="BI34" s="267"/>
      <c r="BJ34" s="286"/>
      <c r="BK34" s="286"/>
    </row>
    <row r="35" spans="7:63" ht="11.25" hidden="1">
      <c r="G35" s="450"/>
      <c r="H35" s="452"/>
      <c r="I35" s="179"/>
      <c r="J35" s="270"/>
      <c r="K35" s="179"/>
      <c r="L35" s="458"/>
      <c r="M35" s="458"/>
      <c r="N35" s="285"/>
      <c r="O35" s="278"/>
      <c r="P35" s="279"/>
      <c r="Q35" s="279"/>
      <c r="R35" s="371"/>
      <c r="S35" s="371"/>
      <c r="T35" s="267"/>
      <c r="U35" s="267"/>
      <c r="V35" s="267"/>
      <c r="W35" s="267"/>
      <c r="X35" s="371"/>
      <c r="Y35" s="371"/>
      <c r="Z35" s="267"/>
      <c r="AA35" s="267"/>
      <c r="AB35" s="267"/>
      <c r="AC35" s="267"/>
      <c r="AD35" s="286"/>
      <c r="AE35" s="277"/>
      <c r="AF35" s="267"/>
      <c r="AG35" s="267"/>
      <c r="AH35" s="267"/>
      <c r="AI35" s="267"/>
      <c r="AJ35" s="286"/>
      <c r="AK35" s="277"/>
      <c r="AL35" s="267"/>
      <c r="AM35" s="267"/>
      <c r="AN35" s="267"/>
      <c r="AO35" s="267"/>
      <c r="AP35" s="267"/>
      <c r="AQ35" s="267"/>
      <c r="AR35" s="286"/>
      <c r="AS35" s="286"/>
      <c r="AT35" s="267"/>
      <c r="AU35" s="267"/>
      <c r="AV35" s="267"/>
      <c r="AW35" s="267"/>
      <c r="AX35" s="286"/>
      <c r="AY35" s="286"/>
      <c r="AZ35" s="267"/>
      <c r="BA35" s="267"/>
      <c r="BB35" s="267"/>
      <c r="BC35" s="267"/>
      <c r="BD35" s="286"/>
      <c r="BE35" s="286"/>
      <c r="BF35" s="267"/>
      <c r="BG35" s="267"/>
      <c r="BH35" s="267"/>
      <c r="BI35" s="267"/>
      <c r="BJ35" s="286"/>
      <c r="BK35" s="286"/>
    </row>
    <row r="36" spans="7:63" ht="33.75">
      <c r="G36" s="390" t="s">
        <v>123</v>
      </c>
      <c r="H36" s="444" t="s">
        <v>233</v>
      </c>
      <c r="I36" s="183"/>
      <c r="J36" s="270"/>
      <c r="K36" s="183"/>
      <c r="L36" s="458"/>
      <c r="M36" s="458"/>
      <c r="N36" s="287"/>
      <c r="O36" s="278"/>
      <c r="P36" s="279"/>
      <c r="Q36" s="279"/>
      <c r="R36" s="371"/>
      <c r="S36" s="371"/>
      <c r="T36" s="267"/>
      <c r="U36" s="267"/>
      <c r="V36" s="267"/>
      <c r="W36" s="267"/>
      <c r="X36" s="371"/>
      <c r="Y36" s="371"/>
      <c r="Z36" s="267"/>
      <c r="AA36" s="267"/>
      <c r="AB36" s="267"/>
      <c r="AC36" s="267"/>
      <c r="AD36" s="277"/>
      <c r="AE36" s="277"/>
      <c r="AF36" s="267"/>
      <c r="AG36" s="267"/>
      <c r="AH36" s="267"/>
      <c r="AI36" s="267"/>
      <c r="AJ36" s="277"/>
      <c r="AK36" s="277"/>
      <c r="AL36" s="267"/>
      <c r="AM36" s="267"/>
      <c r="AN36" s="267"/>
      <c r="AO36" s="267"/>
      <c r="AP36" s="267"/>
      <c r="AQ36" s="267"/>
      <c r="AR36" s="286"/>
      <c r="AS36" s="286"/>
      <c r="AT36" s="267"/>
      <c r="AU36" s="267"/>
      <c r="AV36" s="267"/>
      <c r="AW36" s="267"/>
      <c r="AX36" s="286"/>
      <c r="AY36" s="286"/>
      <c r="AZ36" s="267"/>
      <c r="BA36" s="267"/>
      <c r="BB36" s="267"/>
      <c r="BC36" s="267"/>
      <c r="BD36" s="286"/>
      <c r="BE36" s="286"/>
      <c r="BF36" s="267"/>
      <c r="BG36" s="267"/>
      <c r="BH36" s="267"/>
      <c r="BI36" s="267"/>
      <c r="BJ36" s="286"/>
      <c r="BK36" s="286"/>
    </row>
    <row r="37" spans="7:63" ht="22.5">
      <c r="G37" s="390" t="s">
        <v>134</v>
      </c>
      <c r="H37" s="446" t="s">
        <v>177</v>
      </c>
      <c r="I37" s="185"/>
      <c r="J37" s="270"/>
      <c r="K37" s="185"/>
      <c r="L37" s="456">
        <v>1</v>
      </c>
      <c r="M37" s="456">
        <v>1</v>
      </c>
      <c r="N37" s="287"/>
      <c r="O37" s="278"/>
      <c r="P37" s="279"/>
      <c r="Q37" s="279"/>
      <c r="R37" s="372">
        <f>S37</f>
        <v>0.985</v>
      </c>
      <c r="S37" s="372">
        <f>IF('ф.6.4 План_Качество'!$L$10="да",M37*(1-wrk_f24_k),M37)</f>
        <v>0.985</v>
      </c>
      <c r="T37" s="267"/>
      <c r="U37" s="267"/>
      <c r="V37" s="267"/>
      <c r="W37" s="267"/>
      <c r="X37" s="372">
        <f>Y37</f>
        <v>0.9997749999999999</v>
      </c>
      <c r="Y37" s="372">
        <f>IF('ф.6.4 План_Качество'!$L$10="да",S37*(1+wrk_f24_k),S37)</f>
        <v>0.9997749999999999</v>
      </c>
      <c r="Z37" s="267"/>
      <c r="AA37" s="267"/>
      <c r="AB37" s="267"/>
      <c r="AC37" s="267"/>
      <c r="AD37" s="289">
        <f>AE37</f>
        <v>1.0147716249999998</v>
      </c>
      <c r="AE37" s="272">
        <f>IF('ф.6.4 План_Качество'!$L$10="да",Y37*(1+wrk_f24_k),Y37)</f>
        <v>1.0147716249999998</v>
      </c>
      <c r="AF37" s="267"/>
      <c r="AG37" s="267"/>
      <c r="AH37" s="267"/>
      <c r="AI37" s="267"/>
      <c r="AJ37" s="289">
        <f>AK37</f>
        <v>1.0299931993749998</v>
      </c>
      <c r="AK37" s="272">
        <f>IF('ф.6.4 План_Качество'!$L$10="да",AE37*(1+wrk_f24_k),AE37)</f>
        <v>1.0299931993749998</v>
      </c>
      <c r="AL37" s="267"/>
      <c r="AM37" s="267"/>
      <c r="AN37" s="267"/>
      <c r="AO37" s="267"/>
      <c r="AP37" s="267"/>
      <c r="AQ37" s="267"/>
      <c r="AR37" s="289">
        <f t="shared" si="0"/>
        <v>0</v>
      </c>
      <c r="AS37" s="290"/>
      <c r="AT37" s="267"/>
      <c r="AU37" s="267"/>
      <c r="AV37" s="267"/>
      <c r="AW37" s="267"/>
      <c r="AX37" s="289">
        <f t="shared" si="1"/>
        <v>0</v>
      </c>
      <c r="AY37" s="290"/>
      <c r="AZ37" s="267"/>
      <c r="BA37" s="267"/>
      <c r="BB37" s="267"/>
      <c r="BC37" s="267"/>
      <c r="BD37" s="289">
        <f>BE37</f>
        <v>0</v>
      </c>
      <c r="BE37" s="290"/>
      <c r="BF37" s="267"/>
      <c r="BG37" s="267"/>
      <c r="BH37" s="267"/>
      <c r="BI37" s="267"/>
      <c r="BJ37" s="289">
        <f>BK37</f>
        <v>0</v>
      </c>
      <c r="BK37" s="290"/>
    </row>
    <row r="38" spans="7:63" ht="33.75">
      <c r="G38" s="390" t="s">
        <v>133</v>
      </c>
      <c r="H38" s="446" t="s">
        <v>251</v>
      </c>
      <c r="I38" s="185"/>
      <c r="J38" s="270"/>
      <c r="K38" s="185"/>
      <c r="L38" s="456">
        <v>3</v>
      </c>
      <c r="M38" s="456">
        <v>0</v>
      </c>
      <c r="N38" s="287"/>
      <c r="O38" s="278"/>
      <c r="P38" s="279"/>
      <c r="Q38" s="279"/>
      <c r="R38" s="369">
        <f>S38</f>
        <v>0</v>
      </c>
      <c r="S38" s="372">
        <f>IF('ф.6.4 План_Качество'!$L$10="да",M38*(1+wrk_f24_k),M38)</f>
        <v>0</v>
      </c>
      <c r="T38" s="267"/>
      <c r="U38" s="267"/>
      <c r="V38" s="267"/>
      <c r="W38" s="267"/>
      <c r="X38" s="369">
        <f>Y38</f>
        <v>0</v>
      </c>
      <c r="Y38" s="372">
        <f>IF('ф.6.4 План_Качество'!$L$10="да",S38*(1-wrk_f24_k),S38)</f>
        <v>0</v>
      </c>
      <c r="Z38" s="267"/>
      <c r="AA38" s="267"/>
      <c r="AB38" s="267"/>
      <c r="AC38" s="267"/>
      <c r="AD38" s="250">
        <f>AE38</f>
        <v>0</v>
      </c>
      <c r="AE38" s="272">
        <f>IF('ф.6.4 План_Качество'!$L$10="да",Y38*(1-wrk_f24_k),Y38)</f>
        <v>0</v>
      </c>
      <c r="AF38" s="267"/>
      <c r="AG38" s="267"/>
      <c r="AH38" s="267"/>
      <c r="AI38" s="267"/>
      <c r="AJ38" s="250">
        <f>AK38</f>
        <v>0</v>
      </c>
      <c r="AK38" s="272">
        <f>IF('ф.6.4 План_Качество'!$L$10="да",AE38*(1-wrk_f24_k),AE38)</f>
        <v>0</v>
      </c>
      <c r="AL38" s="267"/>
      <c r="AM38" s="267"/>
      <c r="AN38" s="267"/>
      <c r="AO38" s="267"/>
      <c r="AP38" s="267"/>
      <c r="AQ38" s="267"/>
      <c r="AR38" s="289">
        <f t="shared" si="0"/>
        <v>0</v>
      </c>
      <c r="AS38" s="290"/>
      <c r="AT38" s="267"/>
      <c r="AU38" s="267"/>
      <c r="AV38" s="267"/>
      <c r="AW38" s="267"/>
      <c r="AX38" s="289">
        <f t="shared" si="1"/>
        <v>0</v>
      </c>
      <c r="AY38" s="290"/>
      <c r="AZ38" s="267"/>
      <c r="BA38" s="267"/>
      <c r="BB38" s="267"/>
      <c r="BC38" s="267"/>
      <c r="BD38" s="289">
        <f>BE38</f>
        <v>0</v>
      </c>
      <c r="BE38" s="290"/>
      <c r="BF38" s="267"/>
      <c r="BG38" s="267"/>
      <c r="BH38" s="267"/>
      <c r="BI38" s="267"/>
      <c r="BJ38" s="289">
        <f>BK38</f>
        <v>0</v>
      </c>
      <c r="BK38" s="290"/>
    </row>
    <row r="39" spans="7:63" ht="33.75">
      <c r="G39" s="390" t="s">
        <v>253</v>
      </c>
      <c r="H39" s="447" t="s">
        <v>252</v>
      </c>
      <c r="I39" s="186"/>
      <c r="J39" s="270"/>
      <c r="K39" s="186"/>
      <c r="L39" s="456">
        <v>1</v>
      </c>
      <c r="M39" s="456">
        <v>0</v>
      </c>
      <c r="N39" s="287"/>
      <c r="O39" s="278"/>
      <c r="P39" s="279"/>
      <c r="Q39" s="279"/>
      <c r="R39" s="372">
        <f>S39</f>
        <v>0</v>
      </c>
      <c r="S39" s="372">
        <f>IF('ф.6.4 План_Качество'!$L$10="да",M39*(1+wrk_f24_k),M39)</f>
        <v>0</v>
      </c>
      <c r="T39" s="267"/>
      <c r="U39" s="267"/>
      <c r="V39" s="267"/>
      <c r="W39" s="267"/>
      <c r="X39" s="372">
        <f>Y39</f>
        <v>0</v>
      </c>
      <c r="Y39" s="372">
        <f>IF('ф.6.4 План_Качество'!$L$10="да",S39*(1+wrk_f24_k),S39)</f>
        <v>0</v>
      </c>
      <c r="Z39" s="267"/>
      <c r="AA39" s="267"/>
      <c r="AB39" s="267"/>
      <c r="AC39" s="267"/>
      <c r="AD39" s="289">
        <f>AE39</f>
        <v>0</v>
      </c>
      <c r="AE39" s="272">
        <f>IF('ф.6.4 План_Качество'!$L$10="да",Y39*(1+wrk_f24_k),Y39)</f>
        <v>0</v>
      </c>
      <c r="AF39" s="267"/>
      <c r="AG39" s="267"/>
      <c r="AH39" s="267"/>
      <c r="AI39" s="267"/>
      <c r="AJ39" s="289">
        <f>AK39</f>
        <v>0</v>
      </c>
      <c r="AK39" s="272">
        <f>IF('ф.6.4 План_Качество'!$L$10="да",AE39*(1+wrk_f24_k),AE39)</f>
        <v>0</v>
      </c>
      <c r="AL39" s="267"/>
      <c r="AM39" s="267"/>
      <c r="AN39" s="267"/>
      <c r="AO39" s="267"/>
      <c r="AP39" s="267"/>
      <c r="AQ39" s="267"/>
      <c r="AR39" s="289">
        <f t="shared" si="0"/>
        <v>0</v>
      </c>
      <c r="AS39" s="290"/>
      <c r="AT39" s="267"/>
      <c r="AU39" s="267"/>
      <c r="AV39" s="267"/>
      <c r="AW39" s="267"/>
      <c r="AX39" s="289">
        <f t="shared" si="1"/>
        <v>0</v>
      </c>
      <c r="AY39" s="290"/>
      <c r="AZ39" s="267"/>
      <c r="BA39" s="267"/>
      <c r="BB39" s="267"/>
      <c r="BC39" s="267"/>
      <c r="BD39" s="289">
        <f>BE39</f>
        <v>0</v>
      </c>
      <c r="BE39" s="290"/>
      <c r="BF39" s="267"/>
      <c r="BG39" s="267"/>
      <c r="BH39" s="267"/>
      <c r="BI39" s="267"/>
      <c r="BJ39" s="289">
        <f>BK39</f>
        <v>0</v>
      </c>
      <c r="BK39" s="290"/>
    </row>
    <row r="40" spans="7:17" ht="11.25">
      <c r="G40" s="95"/>
      <c r="H40" s="96"/>
      <c r="I40" s="179"/>
      <c r="J40" s="179"/>
      <c r="K40" s="179"/>
      <c r="L40" s="86"/>
      <c r="M40" s="86"/>
      <c r="N40" s="84"/>
      <c r="O40" s="92"/>
      <c r="P40" s="93"/>
      <c r="Q40" s="93"/>
    </row>
    <row r="41" spans="7:17" ht="11.25">
      <c r="G41" s="95"/>
      <c r="H41" s="96"/>
      <c r="I41" s="179"/>
      <c r="J41" s="179"/>
      <c r="K41" s="179"/>
      <c r="L41" s="86"/>
      <c r="M41" s="86"/>
      <c r="N41" s="84"/>
      <c r="O41" s="92"/>
      <c r="P41" s="93"/>
      <c r="Q41" s="93"/>
    </row>
    <row r="42" spans="7:64" ht="11.25">
      <c r="G42" s="141"/>
      <c r="H42" s="142"/>
      <c r="I42" s="180"/>
      <c r="J42" s="180"/>
      <c r="K42" s="180"/>
      <c r="L42" s="140"/>
      <c r="M42" s="140"/>
      <c r="N42" s="140"/>
      <c r="O42" s="139"/>
      <c r="P42" s="94"/>
      <c r="Q42" s="94"/>
      <c r="R42" s="324"/>
      <c r="S42" s="92"/>
      <c r="T42" s="93"/>
      <c r="X42" s="324"/>
      <c r="Y42" s="92"/>
      <c r="Z42" s="93"/>
      <c r="AD42" s="324"/>
      <c r="AE42" s="92"/>
      <c r="AF42" s="93"/>
      <c r="AJ42" s="324"/>
      <c r="AK42" s="92"/>
      <c r="AL42" s="93"/>
      <c r="AR42" s="84"/>
      <c r="AS42" s="92"/>
      <c r="AT42" s="93"/>
      <c r="AX42" s="84"/>
      <c r="AY42" s="92"/>
      <c r="AZ42" s="93"/>
      <c r="BD42" s="84"/>
      <c r="BE42" s="92"/>
      <c r="BF42" s="93"/>
      <c r="BJ42" s="84"/>
      <c r="BK42" s="92"/>
      <c r="BL42" s="93"/>
    </row>
    <row r="43" spans="7:66" ht="15" customHeight="1">
      <c r="G43" s="639" t="s">
        <v>131</v>
      </c>
      <c r="H43" s="639"/>
      <c r="I43" s="89"/>
      <c r="J43" s="663"/>
      <c r="K43" s="89"/>
      <c r="L43" s="614" t="str">
        <f>IF(prd&lt;&gt;"",prd&amp;" год","Не определено")</f>
        <v>2014 год</v>
      </c>
      <c r="M43" s="614"/>
      <c r="N43" s="614"/>
      <c r="O43" s="614"/>
      <c r="P43" s="614"/>
      <c r="Q43" s="89"/>
      <c r="R43" s="654" t="str">
        <f>IF(_prd3&lt;&gt;"",_prd3+1&amp;" год","Не определено")</f>
        <v>Не определено</v>
      </c>
      <c r="S43" s="654"/>
      <c r="T43" s="654"/>
      <c r="U43" s="654"/>
      <c r="V43" s="654"/>
      <c r="X43" s="654" t="str">
        <f>IF(_prd3&lt;&gt;"",_prd3+2&amp;" год","Не определено")</f>
        <v>Не определено</v>
      </c>
      <c r="Y43" s="654"/>
      <c r="Z43" s="654"/>
      <c r="AA43" s="654"/>
      <c r="AB43" s="654"/>
      <c r="AD43" s="654" t="str">
        <f>IF(_prd3&lt;&gt;"",_prd3+3&amp;" год","Не определено")</f>
        <v>Не определено</v>
      </c>
      <c r="AE43" s="654"/>
      <c r="AF43" s="654"/>
      <c r="AG43" s="654"/>
      <c r="AH43" s="654"/>
      <c r="AJ43" s="654" t="str">
        <f>IF(_prd3&lt;&gt;"",_prd3+4&amp;" год","Не определено")</f>
        <v>Не определено</v>
      </c>
      <c r="AK43" s="654"/>
      <c r="AL43" s="654"/>
      <c r="AM43" s="654"/>
      <c r="AN43" s="654"/>
      <c r="AR43" s="654" t="str">
        <f>IF(_prd3&lt;&gt;"",_prd3+1&amp;" год","Не определено")</f>
        <v>Не определено</v>
      </c>
      <c r="AS43" s="654"/>
      <c r="AT43" s="654"/>
      <c r="AU43" s="654"/>
      <c r="AV43" s="654"/>
      <c r="AX43" s="654" t="str">
        <f>IF(_prd3&lt;&gt;"",_prd3+2&amp;" год","Не определено")</f>
        <v>Не определено</v>
      </c>
      <c r="AY43" s="654"/>
      <c r="AZ43" s="654"/>
      <c r="BA43" s="654"/>
      <c r="BB43" s="654"/>
      <c r="BD43" s="654" t="str">
        <f>IF(_prd3&lt;&gt;"",_prd3+3&amp;" год","Не определено")</f>
        <v>Не определено</v>
      </c>
      <c r="BE43" s="654"/>
      <c r="BF43" s="654"/>
      <c r="BG43" s="654"/>
      <c r="BH43" s="654"/>
      <c r="BJ43" s="654" t="str">
        <f>IF(_prd3&lt;&gt;"",_prd3+4&amp;" год","Не определено")</f>
        <v>Не определено</v>
      </c>
      <c r="BK43" s="654"/>
      <c r="BL43" s="654"/>
      <c r="BM43" s="654"/>
      <c r="BN43" s="654"/>
    </row>
    <row r="44" spans="7:66" ht="15" customHeight="1">
      <c r="G44" s="640" t="str">
        <f>IF(org&lt;&gt;"",org,"Организация не определена")</f>
        <v>ОАО "Новгородоблэлектро"</v>
      </c>
      <c r="H44" s="640"/>
      <c r="I44" s="161"/>
      <c r="J44" s="663"/>
      <c r="K44" s="161"/>
      <c r="L44" s="614"/>
      <c r="M44" s="614"/>
      <c r="N44" s="614"/>
      <c r="O44" s="614"/>
      <c r="P44" s="614"/>
      <c r="Q44" s="161"/>
      <c r="R44" s="654"/>
      <c r="S44" s="654"/>
      <c r="T44" s="654"/>
      <c r="U44" s="654"/>
      <c r="V44" s="654"/>
      <c r="X44" s="654"/>
      <c r="Y44" s="654"/>
      <c r="Z44" s="654"/>
      <c r="AA44" s="654"/>
      <c r="AB44" s="654"/>
      <c r="AD44" s="654"/>
      <c r="AE44" s="654"/>
      <c r="AF44" s="654"/>
      <c r="AG44" s="654"/>
      <c r="AH44" s="654"/>
      <c r="AJ44" s="654"/>
      <c r="AK44" s="654"/>
      <c r="AL44" s="654"/>
      <c r="AM44" s="654"/>
      <c r="AN44" s="654"/>
      <c r="AR44" s="654"/>
      <c r="AS44" s="654"/>
      <c r="AT44" s="654"/>
      <c r="AU44" s="654"/>
      <c r="AV44" s="654"/>
      <c r="AX44" s="654"/>
      <c r="AY44" s="654"/>
      <c r="AZ44" s="654"/>
      <c r="BA44" s="654"/>
      <c r="BB44" s="654"/>
      <c r="BD44" s="654"/>
      <c r="BE44" s="654"/>
      <c r="BF44" s="654"/>
      <c r="BG44" s="654"/>
      <c r="BH44" s="654"/>
      <c r="BJ44" s="654"/>
      <c r="BK44" s="654"/>
      <c r="BL44" s="654"/>
      <c r="BM44" s="654"/>
      <c r="BN44" s="654"/>
    </row>
    <row r="45" spans="7:66" ht="11.25" customHeight="1">
      <c r="G45" s="659" t="s">
        <v>267</v>
      </c>
      <c r="H45" s="633" t="s">
        <v>126</v>
      </c>
      <c r="I45" s="188"/>
      <c r="J45" s="645"/>
      <c r="K45" s="188"/>
      <c r="L45" s="659" t="s">
        <v>209</v>
      </c>
      <c r="M45" s="659"/>
      <c r="N45" s="659" t="s">
        <v>211</v>
      </c>
      <c r="O45" s="659" t="s">
        <v>125</v>
      </c>
      <c r="P45" s="659" t="s">
        <v>220</v>
      </c>
      <c r="Q45" s="177"/>
      <c r="R45" s="662" t="s">
        <v>209</v>
      </c>
      <c r="S45" s="662"/>
      <c r="T45" s="661" t="s">
        <v>211</v>
      </c>
      <c r="U45" s="661" t="s">
        <v>125</v>
      </c>
      <c r="V45" s="661" t="s">
        <v>220</v>
      </c>
      <c r="W45" s="177"/>
      <c r="X45" s="662" t="s">
        <v>209</v>
      </c>
      <c r="Y45" s="662"/>
      <c r="Z45" s="661" t="s">
        <v>211</v>
      </c>
      <c r="AA45" s="661" t="s">
        <v>125</v>
      </c>
      <c r="AB45" s="661" t="s">
        <v>220</v>
      </c>
      <c r="AD45" s="662" t="s">
        <v>209</v>
      </c>
      <c r="AE45" s="662"/>
      <c r="AF45" s="661" t="s">
        <v>211</v>
      </c>
      <c r="AG45" s="661" t="s">
        <v>125</v>
      </c>
      <c r="AH45" s="661" t="s">
        <v>220</v>
      </c>
      <c r="AJ45" s="662" t="s">
        <v>209</v>
      </c>
      <c r="AK45" s="662"/>
      <c r="AL45" s="661" t="s">
        <v>211</v>
      </c>
      <c r="AM45" s="661" t="s">
        <v>125</v>
      </c>
      <c r="AN45" s="661" t="s">
        <v>220</v>
      </c>
      <c r="AR45" s="661" t="s">
        <v>209</v>
      </c>
      <c r="AS45" s="661"/>
      <c r="AT45" s="661" t="s">
        <v>211</v>
      </c>
      <c r="AU45" s="661" t="s">
        <v>125</v>
      </c>
      <c r="AV45" s="661" t="s">
        <v>220</v>
      </c>
      <c r="AW45" s="177"/>
      <c r="AX45" s="661" t="s">
        <v>209</v>
      </c>
      <c r="AY45" s="661"/>
      <c r="AZ45" s="661" t="s">
        <v>211</v>
      </c>
      <c r="BA45" s="661" t="s">
        <v>125</v>
      </c>
      <c r="BB45" s="661" t="s">
        <v>220</v>
      </c>
      <c r="BD45" s="661" t="s">
        <v>209</v>
      </c>
      <c r="BE45" s="661"/>
      <c r="BF45" s="661" t="s">
        <v>211</v>
      </c>
      <c r="BG45" s="661" t="s">
        <v>125</v>
      </c>
      <c r="BH45" s="661" t="s">
        <v>220</v>
      </c>
      <c r="BJ45" s="661" t="s">
        <v>209</v>
      </c>
      <c r="BK45" s="661"/>
      <c r="BL45" s="661" t="s">
        <v>211</v>
      </c>
      <c r="BM45" s="661" t="s">
        <v>125</v>
      </c>
      <c r="BN45" s="661" t="s">
        <v>220</v>
      </c>
    </row>
    <row r="46" spans="7:66" ht="22.5" customHeight="1">
      <c r="G46" s="659"/>
      <c r="H46" s="633"/>
      <c r="I46" s="188"/>
      <c r="J46" s="645"/>
      <c r="K46" s="188"/>
      <c r="L46" s="459" t="s">
        <v>223</v>
      </c>
      <c r="M46" s="459" t="s">
        <v>224</v>
      </c>
      <c r="N46" s="659"/>
      <c r="O46" s="659"/>
      <c r="P46" s="659"/>
      <c r="Q46" s="177"/>
      <c r="R46" s="327" t="s">
        <v>223</v>
      </c>
      <c r="S46" s="327" t="s">
        <v>224</v>
      </c>
      <c r="T46" s="661"/>
      <c r="U46" s="661"/>
      <c r="V46" s="661"/>
      <c r="W46" s="177"/>
      <c r="X46" s="327" t="s">
        <v>223</v>
      </c>
      <c r="Y46" s="327" t="s">
        <v>224</v>
      </c>
      <c r="Z46" s="661"/>
      <c r="AA46" s="661"/>
      <c r="AB46" s="661"/>
      <c r="AD46" s="327" t="s">
        <v>223</v>
      </c>
      <c r="AE46" s="327" t="s">
        <v>224</v>
      </c>
      <c r="AF46" s="661"/>
      <c r="AG46" s="661"/>
      <c r="AH46" s="661"/>
      <c r="AJ46" s="327" t="s">
        <v>223</v>
      </c>
      <c r="AK46" s="327" t="s">
        <v>224</v>
      </c>
      <c r="AL46" s="661"/>
      <c r="AM46" s="661"/>
      <c r="AN46" s="661"/>
      <c r="AR46" s="164" t="s">
        <v>223</v>
      </c>
      <c r="AS46" s="164" t="s">
        <v>224</v>
      </c>
      <c r="AT46" s="661"/>
      <c r="AU46" s="661"/>
      <c r="AV46" s="661"/>
      <c r="AW46" s="177"/>
      <c r="AX46" s="164" t="s">
        <v>223</v>
      </c>
      <c r="AY46" s="164" t="s">
        <v>224</v>
      </c>
      <c r="AZ46" s="661"/>
      <c r="BA46" s="661"/>
      <c r="BB46" s="661"/>
      <c r="BD46" s="164" t="s">
        <v>223</v>
      </c>
      <c r="BE46" s="164" t="s">
        <v>224</v>
      </c>
      <c r="BF46" s="661"/>
      <c r="BG46" s="661"/>
      <c r="BH46" s="661"/>
      <c r="BJ46" s="164" t="s">
        <v>223</v>
      </c>
      <c r="BK46" s="164" t="s">
        <v>224</v>
      </c>
      <c r="BL46" s="661"/>
      <c r="BM46" s="661"/>
      <c r="BN46" s="661"/>
    </row>
    <row r="47" spans="7:66" s="397" customFormat="1" ht="12" customHeight="1">
      <c r="G47" s="442" t="s">
        <v>84</v>
      </c>
      <c r="H47" s="442" t="s">
        <v>80</v>
      </c>
      <c r="I47" s="406"/>
      <c r="J47" s="411"/>
      <c r="K47" s="406"/>
      <c r="L47" s="442" t="s">
        <v>81</v>
      </c>
      <c r="M47" s="442" t="s">
        <v>124</v>
      </c>
      <c r="N47" s="442" t="s">
        <v>123</v>
      </c>
      <c r="O47" s="442" t="s">
        <v>122</v>
      </c>
      <c r="P47" s="442" t="s">
        <v>121</v>
      </c>
      <c r="Q47" s="407"/>
      <c r="R47" s="408" t="s">
        <v>120</v>
      </c>
      <c r="S47" s="408" t="s">
        <v>75</v>
      </c>
      <c r="T47" s="399" t="s">
        <v>76</v>
      </c>
      <c r="U47" s="399" t="s">
        <v>77</v>
      </c>
      <c r="V47" s="399" t="s">
        <v>78</v>
      </c>
      <c r="W47" s="407"/>
      <c r="X47" s="408" t="s">
        <v>3</v>
      </c>
      <c r="Y47" s="408" t="s">
        <v>4</v>
      </c>
      <c r="Z47" s="399" t="s">
        <v>5</v>
      </c>
      <c r="AA47" s="399" t="s">
        <v>6</v>
      </c>
      <c r="AB47" s="399" t="s">
        <v>7</v>
      </c>
      <c r="AD47" s="408" t="s">
        <v>8</v>
      </c>
      <c r="AE47" s="408" t="s">
        <v>9</v>
      </c>
      <c r="AF47" s="399" t="s">
        <v>10</v>
      </c>
      <c r="AG47" s="399" t="s">
        <v>11</v>
      </c>
      <c r="AH47" s="399" t="s">
        <v>12</v>
      </c>
      <c r="AJ47" s="408" t="s">
        <v>13</v>
      </c>
      <c r="AK47" s="408" t="s">
        <v>14</v>
      </c>
      <c r="AL47" s="399" t="s">
        <v>15</v>
      </c>
      <c r="AM47" s="399" t="s">
        <v>16</v>
      </c>
      <c r="AN47" s="399" t="s">
        <v>17</v>
      </c>
      <c r="AR47" s="399" t="s">
        <v>120</v>
      </c>
      <c r="AS47" s="399" t="s">
        <v>75</v>
      </c>
      <c r="AT47" s="399" t="s">
        <v>76</v>
      </c>
      <c r="AU47" s="399" t="s">
        <v>77</v>
      </c>
      <c r="AV47" s="399" t="s">
        <v>78</v>
      </c>
      <c r="AW47" s="407"/>
      <c r="AX47" s="399" t="s">
        <v>3</v>
      </c>
      <c r="AY47" s="399" t="s">
        <v>4</v>
      </c>
      <c r="AZ47" s="399" t="s">
        <v>5</v>
      </c>
      <c r="BA47" s="399" t="s">
        <v>6</v>
      </c>
      <c r="BB47" s="399" t="s">
        <v>7</v>
      </c>
      <c r="BD47" s="399" t="s">
        <v>8</v>
      </c>
      <c r="BE47" s="399" t="s">
        <v>9</v>
      </c>
      <c r="BF47" s="399" t="s">
        <v>10</v>
      </c>
      <c r="BG47" s="399" t="s">
        <v>11</v>
      </c>
      <c r="BH47" s="399" t="s">
        <v>12</v>
      </c>
      <c r="BJ47" s="399" t="s">
        <v>13</v>
      </c>
      <c r="BK47" s="399" t="s">
        <v>14</v>
      </c>
      <c r="BL47" s="399" t="s">
        <v>15</v>
      </c>
      <c r="BM47" s="399" t="s">
        <v>16</v>
      </c>
      <c r="BN47" s="399" t="s">
        <v>17</v>
      </c>
    </row>
    <row r="48" spans="7:66" ht="33.75">
      <c r="G48" s="390" t="s">
        <v>84</v>
      </c>
      <c r="H48" s="445" t="s">
        <v>170</v>
      </c>
      <c r="I48" s="184"/>
      <c r="J48" s="232"/>
      <c r="K48" s="184"/>
      <c r="L48" s="460">
        <f>IF(L13=0,0,1)</f>
        <v>1</v>
      </c>
      <c r="M48" s="460">
        <f>IF(M13=0,0,1)</f>
        <v>1</v>
      </c>
      <c r="N48" s="460">
        <f>IF(M48&gt;0,L48/M48*100,IF(L48=0,100,120))</f>
        <v>100</v>
      </c>
      <c r="O48" s="455" t="s">
        <v>119</v>
      </c>
      <c r="P48" s="460">
        <f>IF(N48&lt;80,3,IF(N48&gt;=80,IF(N48&lt;=120,2,1)))</f>
        <v>2</v>
      </c>
      <c r="Q48" s="252"/>
      <c r="R48" s="250">
        <f>IF(R13=0,0,1)</f>
        <v>1</v>
      </c>
      <c r="S48" s="250">
        <f>IF(S13=0,0,1)</f>
        <v>1</v>
      </c>
      <c r="T48" s="250">
        <f>IF(S48&gt;0,R48/S48*100,IF(R48=0,100,120))</f>
        <v>100</v>
      </c>
      <c r="U48" s="248" t="s">
        <v>119</v>
      </c>
      <c r="V48" s="250">
        <f>IF(T48&lt;80,3,IF(T48&gt;=80,IF(T48&lt;=120,2,1)))</f>
        <v>2</v>
      </c>
      <c r="W48" s="252"/>
      <c r="X48" s="250">
        <f>IF(X13=0,0,1)</f>
        <v>1</v>
      </c>
      <c r="Y48" s="250">
        <f>IF(Y13=0,0,1)</f>
        <v>1</v>
      </c>
      <c r="Z48" s="250">
        <f>IF(Y48&gt;0,X48/Y48*100,IF(X48=0,100,120))</f>
        <v>100</v>
      </c>
      <c r="AA48" s="248" t="s">
        <v>119</v>
      </c>
      <c r="AB48" s="250">
        <f>IF(Z48&lt;80,3,IF(Z48&gt;=80,IF(Z48&lt;=120,2,1)))</f>
        <v>2</v>
      </c>
      <c r="AC48" s="229"/>
      <c r="AD48" s="250">
        <f>IF(AD13=0,0,1)</f>
        <v>1</v>
      </c>
      <c r="AE48" s="250">
        <f>IF(AE13=0,0,1)</f>
        <v>1</v>
      </c>
      <c r="AF48" s="250">
        <f>IF(AE48&gt;0,AD48/AE48*100,IF(AD48=0,100,120))</f>
        <v>100</v>
      </c>
      <c r="AG48" s="248" t="s">
        <v>119</v>
      </c>
      <c r="AH48" s="250">
        <f>IF(AF48&lt;80,3,IF(AF48&gt;=80,IF(AF48&lt;=120,2,1)))</f>
        <v>2</v>
      </c>
      <c r="AI48" s="229"/>
      <c r="AJ48" s="250">
        <f>IF(AJ13=0,0,1)</f>
        <v>1</v>
      </c>
      <c r="AK48" s="250">
        <f>IF(AK13=0,0,1)</f>
        <v>1</v>
      </c>
      <c r="AL48" s="250">
        <f>IF(AK48&gt;0,AJ48/AK48*100,IF(AJ48=0,100,120))</f>
        <v>100</v>
      </c>
      <c r="AM48" s="248" t="s">
        <v>119</v>
      </c>
      <c r="AN48" s="250">
        <f>IF(AL48&lt;80,3,IF(AL48&gt;=80,IF(AL48&lt;=120,2,1)))</f>
        <v>2</v>
      </c>
      <c r="AO48" s="229"/>
      <c r="AP48" s="229"/>
      <c r="AQ48" s="229"/>
      <c r="AR48" s="250">
        <f>IF(AR13=0,0,1)</f>
        <v>0</v>
      </c>
      <c r="AS48" s="250">
        <f>IF(AS13=0,0,1)</f>
        <v>0</v>
      </c>
      <c r="AT48" s="250">
        <f>IF(AS48&gt;0,AR48/AS48*100,IF(AR48=0,100,120))</f>
        <v>100</v>
      </c>
      <c r="AU48" s="248" t="s">
        <v>119</v>
      </c>
      <c r="AV48" s="250">
        <f>IF(AT48&lt;80,3,IF(AT48&gt;=80,IF(AT48&lt;=120,2,1)))</f>
        <v>2</v>
      </c>
      <c r="AW48" s="252"/>
      <c r="AX48" s="250">
        <f>IF(AX13=0,0,1)</f>
        <v>0</v>
      </c>
      <c r="AY48" s="250">
        <f>IF(AY13=0,0,1)</f>
        <v>0</v>
      </c>
      <c r="AZ48" s="250">
        <f>IF(AY48&gt;0,AX48/AY48*100,IF(AX48=0,100,120))</f>
        <v>100</v>
      </c>
      <c r="BA48" s="248" t="s">
        <v>119</v>
      </c>
      <c r="BB48" s="250">
        <f>IF(AZ48&lt;80,3,IF(AZ48&gt;=80,IF(AZ48&lt;=120,2,1)))</f>
        <v>2</v>
      </c>
      <c r="BC48" s="229"/>
      <c r="BD48" s="250">
        <f>IF(BD13=0,0,1)</f>
        <v>0</v>
      </c>
      <c r="BE48" s="250">
        <f>IF(BE13=0,0,1)</f>
        <v>0</v>
      </c>
      <c r="BF48" s="250">
        <f>IF(BE48&gt;0,BD48/BE48*100,IF(BD48=0,100,120))</f>
        <v>100</v>
      </c>
      <c r="BG48" s="248" t="s">
        <v>119</v>
      </c>
      <c r="BH48" s="250">
        <f>IF(BF48&lt;80,3,IF(BF48&gt;=80,IF(BF48&lt;=120,2,1)))</f>
        <v>2</v>
      </c>
      <c r="BI48" s="229"/>
      <c r="BJ48" s="250">
        <f>IF(BJ13=0,0,1)</f>
        <v>0</v>
      </c>
      <c r="BK48" s="250">
        <f>IF(BK13=0,0,1)</f>
        <v>0</v>
      </c>
      <c r="BL48" s="250">
        <f>IF(BK48&gt;0,BJ48/BK48*100,IF(BJ48=0,100,120))</f>
        <v>100</v>
      </c>
      <c r="BM48" s="248" t="s">
        <v>119</v>
      </c>
      <c r="BN48" s="250">
        <f>IF(BL48&lt;80,3,IF(BL48&gt;=80,IF(BL48&lt;=120,2,1)))</f>
        <v>2</v>
      </c>
    </row>
    <row r="49" spans="7:66" ht="11.25">
      <c r="G49" s="390" t="s">
        <v>80</v>
      </c>
      <c r="H49" s="445" t="s">
        <v>247</v>
      </c>
      <c r="I49" s="184"/>
      <c r="J49" s="232"/>
      <c r="K49" s="184"/>
      <c r="L49" s="461"/>
      <c r="M49" s="461"/>
      <c r="N49" s="461"/>
      <c r="O49" s="461"/>
      <c r="P49" s="460">
        <f>(P51+P52+P53+P54+P55+P56)/6</f>
        <v>1.5</v>
      </c>
      <c r="Q49" s="252"/>
      <c r="R49" s="251"/>
      <c r="S49" s="251"/>
      <c r="T49" s="251"/>
      <c r="U49" s="251"/>
      <c r="V49" s="250">
        <f>(V51+V52+V53+V54+V55+V56)/6</f>
        <v>2</v>
      </c>
      <c r="W49" s="252"/>
      <c r="X49" s="251"/>
      <c r="Y49" s="251"/>
      <c r="Z49" s="251"/>
      <c r="AA49" s="251"/>
      <c r="AB49" s="250">
        <f>(AB51+AB52+AB53+AB54+AB55+AB56)/6</f>
        <v>2</v>
      </c>
      <c r="AC49" s="229"/>
      <c r="AD49" s="251"/>
      <c r="AE49" s="251"/>
      <c r="AF49" s="251"/>
      <c r="AG49" s="251"/>
      <c r="AH49" s="250">
        <f>(AH51+AH52+AH53+AH54+AH55+AH56)/6</f>
        <v>2</v>
      </c>
      <c r="AI49" s="229"/>
      <c r="AJ49" s="251"/>
      <c r="AK49" s="251"/>
      <c r="AL49" s="251"/>
      <c r="AM49" s="251"/>
      <c r="AN49" s="250">
        <f>(AN51+AN52+AN53+AN54+AN55+AN56)/6</f>
        <v>2</v>
      </c>
      <c r="AO49" s="229"/>
      <c r="AP49" s="229"/>
      <c r="AQ49" s="229"/>
      <c r="AR49" s="251"/>
      <c r="AS49" s="251"/>
      <c r="AT49" s="251"/>
      <c r="AU49" s="251"/>
      <c r="AV49" s="250">
        <f>(AV51+AV52+AV53+AV54+AV55+AV56)/6</f>
        <v>2</v>
      </c>
      <c r="AW49" s="252"/>
      <c r="AX49" s="251"/>
      <c r="AY49" s="251"/>
      <c r="AZ49" s="251"/>
      <c r="BA49" s="251"/>
      <c r="BB49" s="250">
        <f>(BB51+BB52+BB53+BB54+BB55+BB56)/6</f>
        <v>2</v>
      </c>
      <c r="BC49" s="229"/>
      <c r="BD49" s="251"/>
      <c r="BE49" s="251"/>
      <c r="BF49" s="251"/>
      <c r="BG49" s="251"/>
      <c r="BH49" s="250">
        <f>(BH51+BH52+BH53+BH54+BH55+BH56)/6</f>
        <v>2</v>
      </c>
      <c r="BI49" s="229"/>
      <c r="BJ49" s="251"/>
      <c r="BK49" s="251"/>
      <c r="BL49" s="251"/>
      <c r="BM49" s="251"/>
      <c r="BN49" s="250">
        <f>(BN51+BN52+BN53+BN54+BN55+BN56)/6</f>
        <v>2</v>
      </c>
    </row>
    <row r="50" spans="7:66" ht="11.25">
      <c r="G50" s="390"/>
      <c r="H50" s="445" t="s">
        <v>219</v>
      </c>
      <c r="I50" s="184"/>
      <c r="J50" s="232"/>
      <c r="K50" s="184"/>
      <c r="L50" s="461"/>
      <c r="M50" s="461"/>
      <c r="N50" s="461"/>
      <c r="O50" s="461"/>
      <c r="P50" s="461"/>
      <c r="Q50" s="259"/>
      <c r="R50" s="251"/>
      <c r="S50" s="251"/>
      <c r="T50" s="251"/>
      <c r="U50" s="251"/>
      <c r="V50" s="251"/>
      <c r="W50" s="259"/>
      <c r="X50" s="251"/>
      <c r="Y50" s="251"/>
      <c r="Z50" s="251"/>
      <c r="AA50" s="251"/>
      <c r="AB50" s="251"/>
      <c r="AC50" s="229"/>
      <c r="AD50" s="251"/>
      <c r="AE50" s="251"/>
      <c r="AF50" s="251"/>
      <c r="AG50" s="251"/>
      <c r="AH50" s="251"/>
      <c r="AI50" s="229"/>
      <c r="AJ50" s="251"/>
      <c r="AK50" s="251"/>
      <c r="AL50" s="251"/>
      <c r="AM50" s="251"/>
      <c r="AN50" s="251"/>
      <c r="AO50" s="229"/>
      <c r="AP50" s="229"/>
      <c r="AQ50" s="229"/>
      <c r="AR50" s="251"/>
      <c r="AS50" s="251"/>
      <c r="AT50" s="251"/>
      <c r="AU50" s="251"/>
      <c r="AV50" s="251"/>
      <c r="AW50" s="259"/>
      <c r="AX50" s="251"/>
      <c r="AY50" s="251"/>
      <c r="AZ50" s="251"/>
      <c r="BA50" s="251"/>
      <c r="BB50" s="251"/>
      <c r="BC50" s="229"/>
      <c r="BD50" s="251"/>
      <c r="BE50" s="251"/>
      <c r="BF50" s="251"/>
      <c r="BG50" s="251"/>
      <c r="BH50" s="251"/>
      <c r="BI50" s="229"/>
      <c r="BJ50" s="251"/>
      <c r="BK50" s="251"/>
      <c r="BL50" s="251"/>
      <c r="BM50" s="251"/>
      <c r="BN50" s="251"/>
    </row>
    <row r="51" spans="7:66" ht="22.5" customHeight="1">
      <c r="G51" s="390" t="s">
        <v>114</v>
      </c>
      <c r="H51" s="463" t="s">
        <v>261</v>
      </c>
      <c r="I51" s="189"/>
      <c r="J51" s="232"/>
      <c r="K51" s="189"/>
      <c r="L51" s="460">
        <f>IF(L16=0,0,L15/L16*100)</f>
        <v>0.6722183204575097</v>
      </c>
      <c r="M51" s="460">
        <f>IF(M16=0,0,M15/M16*100)</f>
        <v>2.8300316297652737</v>
      </c>
      <c r="N51" s="460">
        <f aca="true" t="shared" si="4" ref="N51:N56">IF(M51&gt;0,L51/M51*100,IF(L51=0,100,120))</f>
        <v>23.75303206463683</v>
      </c>
      <c r="O51" s="455" t="s">
        <v>118</v>
      </c>
      <c r="P51" s="460">
        <f>IF(N51&lt;80,1,IF(N51&gt;=80,IF(N51&lt;=120,2,3)))</f>
        <v>1</v>
      </c>
      <c r="Q51" s="252"/>
      <c r="R51" s="250">
        <f>IF(R16=0,0,R15/R16*100)</f>
        <v>2.7875811553187946</v>
      </c>
      <c r="S51" s="250">
        <f>IF(S16=0,0,S15/S16*100)</f>
        <v>2.7875811553187946</v>
      </c>
      <c r="T51" s="250">
        <f aca="true" t="shared" si="5" ref="T51:T56">IF(S51&gt;0,R51/S51*100,IF(R51=0,100,120))</f>
        <v>100</v>
      </c>
      <c r="U51" s="248" t="s">
        <v>118</v>
      </c>
      <c r="V51" s="250">
        <f>IF(T51&lt;80,1,IF(T51&gt;=80,IF(T51&lt;=120,2,3)))</f>
        <v>2</v>
      </c>
      <c r="W51" s="252"/>
      <c r="X51" s="250">
        <f>IF(X16=0,0,X15/X16*100)</f>
        <v>2.829394872648576</v>
      </c>
      <c r="Y51" s="250">
        <f>IF(Y16=0,0,Y15/Y16*100)</f>
        <v>2.829394872648576</v>
      </c>
      <c r="Z51" s="250">
        <f aca="true" t="shared" si="6" ref="Z51:Z56">IF(Y51&gt;0,X51/Y51*100,IF(X51=0,100,120))</f>
        <v>100</v>
      </c>
      <c r="AA51" s="248" t="s">
        <v>118</v>
      </c>
      <c r="AB51" s="250">
        <f>IF(Z51&lt;80,1,IF(Z51&gt;=80,IF(Z51&lt;=120,2,3)))</f>
        <v>2</v>
      </c>
      <c r="AC51" s="229"/>
      <c r="AD51" s="250">
        <f>IF(AD16=0,0,AD15/AD16*100)</f>
        <v>2.8718357957383045</v>
      </c>
      <c r="AE51" s="250">
        <f>IF(AE16=0,0,AE15/AE16*100)</f>
        <v>2.8718357957383045</v>
      </c>
      <c r="AF51" s="250">
        <f aca="true" t="shared" si="7" ref="AF51:AF56">IF(AE51&gt;0,AD51/AE51*100,IF(AD51=0,100,120))</f>
        <v>100</v>
      </c>
      <c r="AG51" s="248" t="s">
        <v>118</v>
      </c>
      <c r="AH51" s="250">
        <f>IF(AF51&lt;80,1,IF(AF51&gt;=80,IF(AF51&lt;=120,2,3)))</f>
        <v>2</v>
      </c>
      <c r="AI51" s="229"/>
      <c r="AJ51" s="250">
        <f>IF(AJ16=0,0,AJ15/AJ16*100)</f>
        <v>2.914913332674379</v>
      </c>
      <c r="AK51" s="250">
        <f>IF(AK16=0,0,AK15/AK16*100)</f>
        <v>2.914913332674379</v>
      </c>
      <c r="AL51" s="250">
        <f aca="true" t="shared" si="8" ref="AL51:AL56">IF(AK51&gt;0,AJ51/AK51*100,IF(AJ51=0,100,120))</f>
        <v>100</v>
      </c>
      <c r="AM51" s="248" t="s">
        <v>118</v>
      </c>
      <c r="AN51" s="250">
        <f>IF(AL51&lt;80,1,IF(AL51&gt;=80,IF(AL51&lt;=120,2,3)))</f>
        <v>2</v>
      </c>
      <c r="AO51" s="229"/>
      <c r="AP51" s="229"/>
      <c r="AQ51" s="229"/>
      <c r="AR51" s="250">
        <f>IF(AR16=0,0,AR15/AR16*100)</f>
        <v>0</v>
      </c>
      <c r="AS51" s="250">
        <f>IF(AS16=0,0,AS15/AS16*100)</f>
        <v>0</v>
      </c>
      <c r="AT51" s="250">
        <f aca="true" t="shared" si="9" ref="AT51:AT56">IF(AS51&gt;0,AR51/AS51*100,IF(AR51=0,100,120))</f>
        <v>100</v>
      </c>
      <c r="AU51" s="248" t="s">
        <v>118</v>
      </c>
      <c r="AV51" s="250">
        <f>IF(AT51&lt;80,1,IF(AT51&gt;=80,IF(AT51&lt;=120,2,3)))</f>
        <v>2</v>
      </c>
      <c r="AW51" s="252"/>
      <c r="AX51" s="250">
        <f>IF(AX16=0,0,AX15/AX16*100)</f>
        <v>0</v>
      </c>
      <c r="AY51" s="250">
        <f>IF(AY16=0,0,AY15/AY16*100)</f>
        <v>0</v>
      </c>
      <c r="AZ51" s="250">
        <f aca="true" t="shared" si="10" ref="AZ51:AZ56">IF(AY51&gt;0,AX51/AY51*100,IF(AX51=0,100,120))</f>
        <v>100</v>
      </c>
      <c r="BA51" s="248" t="s">
        <v>118</v>
      </c>
      <c r="BB51" s="250">
        <f>IF(AZ51&lt;80,1,IF(AZ51&gt;=80,IF(AZ51&lt;=120,2,3)))</f>
        <v>2</v>
      </c>
      <c r="BC51" s="229"/>
      <c r="BD51" s="250">
        <f>IF(BD16=0,0,BD15/BD16*100)</f>
        <v>0</v>
      </c>
      <c r="BE51" s="250">
        <f>IF(BE16=0,0,BE15/BE16*100)</f>
        <v>0</v>
      </c>
      <c r="BF51" s="250">
        <f aca="true" t="shared" si="11" ref="BF51:BF56">IF(BE51&gt;0,BD51/BE51*100,IF(BD51=0,100,120))</f>
        <v>100</v>
      </c>
      <c r="BG51" s="248" t="s">
        <v>118</v>
      </c>
      <c r="BH51" s="250">
        <f>IF(BF51&lt;80,1,IF(BF51&gt;=80,IF(BF51&lt;=120,2,3)))</f>
        <v>2</v>
      </c>
      <c r="BI51" s="229"/>
      <c r="BJ51" s="250">
        <f>IF(BJ16=0,0,BJ15/BJ16*100)</f>
        <v>0</v>
      </c>
      <c r="BK51" s="250">
        <f>IF(BK16=0,0,BK15/BK16*100)</f>
        <v>0</v>
      </c>
      <c r="BL51" s="250">
        <f aca="true" t="shared" si="12" ref="BL51:BL56">IF(BK51&gt;0,BJ51/BK51*100,IF(BJ51=0,100,120))</f>
        <v>100</v>
      </c>
      <c r="BM51" s="248" t="s">
        <v>118</v>
      </c>
      <c r="BN51" s="250">
        <f>IF(BL51&lt;80,1,IF(BL51&gt;=80,IF(BL51&lt;=120,2,3)))</f>
        <v>2</v>
      </c>
    </row>
    <row r="52" spans="7:66" ht="45">
      <c r="G52" s="390" t="s">
        <v>113</v>
      </c>
      <c r="H52" s="463" t="s">
        <v>262</v>
      </c>
      <c r="I52" s="189"/>
      <c r="J52" s="232"/>
      <c r="K52" s="189"/>
      <c r="L52" s="460">
        <f>IF(L18=0,0,L17/L18*100)</f>
        <v>100</v>
      </c>
      <c r="M52" s="460">
        <f>IF(M18=0,0,M17/M18*100)</f>
        <v>100</v>
      </c>
      <c r="N52" s="460">
        <f t="shared" si="4"/>
        <v>100</v>
      </c>
      <c r="O52" s="455" t="s">
        <v>119</v>
      </c>
      <c r="P52" s="460">
        <f>IF(N52&lt;80,3,IF(N52&gt;=80,IF(N52&lt;=120,2,1)))</f>
        <v>2</v>
      </c>
      <c r="Q52" s="252"/>
      <c r="R52" s="250">
        <f>IF(R18=0,0,R17/R18*100)</f>
        <v>0</v>
      </c>
      <c r="S52" s="250">
        <f>IF(S18=0,0,S17/S18*100)</f>
        <v>0</v>
      </c>
      <c r="T52" s="250">
        <f t="shared" si="5"/>
        <v>100</v>
      </c>
      <c r="U52" s="248" t="s">
        <v>119</v>
      </c>
      <c r="V52" s="250">
        <f>IF(T52&lt;80,3,IF(T52&gt;=80,IF(T52&lt;=120,2,1)))</f>
        <v>2</v>
      </c>
      <c r="W52" s="252"/>
      <c r="X52" s="250">
        <f>IF(X18=0,0,X17/X18*100)</f>
        <v>0</v>
      </c>
      <c r="Y52" s="250">
        <f>IF(Y18=0,0,Y17/Y18*100)</f>
        <v>0</v>
      </c>
      <c r="Z52" s="250">
        <f t="shared" si="6"/>
        <v>100</v>
      </c>
      <c r="AA52" s="248" t="s">
        <v>119</v>
      </c>
      <c r="AB52" s="250">
        <f>IF(Z52&lt;80,3,IF(Z52&gt;=80,IF(Z52&lt;=120,2,1)))</f>
        <v>2</v>
      </c>
      <c r="AC52" s="229"/>
      <c r="AD52" s="250">
        <f>IF(AD18=0,0,AD17/AD18*100)</f>
        <v>0</v>
      </c>
      <c r="AE52" s="250">
        <f>IF(AE18=0,0,AE17/AE18*100)</f>
        <v>0</v>
      </c>
      <c r="AF52" s="250">
        <f t="shared" si="7"/>
        <v>100</v>
      </c>
      <c r="AG52" s="248" t="s">
        <v>119</v>
      </c>
      <c r="AH52" s="250">
        <f>IF(AF52&lt;80,3,IF(AF52&gt;=80,IF(AF52&lt;=120,2,1)))</f>
        <v>2</v>
      </c>
      <c r="AI52" s="229"/>
      <c r="AJ52" s="250">
        <f>IF(AJ18=0,0,AJ17/AJ18*100)</f>
        <v>0</v>
      </c>
      <c r="AK52" s="250">
        <f>IF(AK18=0,0,AK17/AK18*100)</f>
        <v>0</v>
      </c>
      <c r="AL52" s="250">
        <f t="shared" si="8"/>
        <v>100</v>
      </c>
      <c r="AM52" s="248" t="s">
        <v>119</v>
      </c>
      <c r="AN52" s="250">
        <f>IF(AL52&lt;80,3,IF(AL52&gt;=80,IF(AL52&lt;=120,2,1)))</f>
        <v>2</v>
      </c>
      <c r="AO52" s="229"/>
      <c r="AP52" s="229"/>
      <c r="AQ52" s="229"/>
      <c r="AR52" s="250">
        <f>IF(AR18=0,0,AR17/AR18*100)</f>
        <v>0</v>
      </c>
      <c r="AS52" s="250">
        <f>IF(AS18=0,0,AS17/AS18*100)</f>
        <v>0</v>
      </c>
      <c r="AT52" s="250">
        <f t="shared" si="9"/>
        <v>100</v>
      </c>
      <c r="AU52" s="248" t="s">
        <v>119</v>
      </c>
      <c r="AV52" s="250">
        <f>IF(AT52&lt;80,3,IF(AT52&gt;=80,IF(AT52&lt;=120,2,1)))</f>
        <v>2</v>
      </c>
      <c r="AW52" s="252"/>
      <c r="AX52" s="250">
        <f>IF(AX18=0,0,AX17/AX18*100)</f>
        <v>0</v>
      </c>
      <c r="AY52" s="250">
        <f>IF(AY18=0,0,AY17/AY18*100)</f>
        <v>0</v>
      </c>
      <c r="AZ52" s="250">
        <f t="shared" si="10"/>
        <v>100</v>
      </c>
      <c r="BA52" s="248" t="s">
        <v>119</v>
      </c>
      <c r="BB52" s="250">
        <f>IF(AZ52&lt;80,3,IF(AZ52&gt;=80,IF(AZ52&lt;=120,2,1)))</f>
        <v>2</v>
      </c>
      <c r="BC52" s="229"/>
      <c r="BD52" s="250">
        <f>IF(BD18=0,0,BD17/BD18*100)</f>
        <v>0</v>
      </c>
      <c r="BE52" s="250">
        <f>IF(BE18=0,0,BE17/BE18*100)</f>
        <v>0</v>
      </c>
      <c r="BF52" s="250">
        <f t="shared" si="11"/>
        <v>100</v>
      </c>
      <c r="BG52" s="248" t="s">
        <v>119</v>
      </c>
      <c r="BH52" s="250">
        <f>IF(BF52&lt;80,3,IF(BF52&gt;=80,IF(BF52&lt;=120,2,1)))</f>
        <v>2</v>
      </c>
      <c r="BI52" s="229"/>
      <c r="BJ52" s="250">
        <f>IF(BJ18=0,0,BJ17/BJ18*100)</f>
        <v>0</v>
      </c>
      <c r="BK52" s="250">
        <f>IF(BK18=0,0,BK17/BK18*100)</f>
        <v>0</v>
      </c>
      <c r="BL52" s="250">
        <f t="shared" si="12"/>
        <v>100</v>
      </c>
      <c r="BM52" s="248" t="s">
        <v>119</v>
      </c>
      <c r="BN52" s="250">
        <f>IF(BL52&lt;80,3,IF(BL52&gt;=80,IF(BL52&lt;=120,2,1)))</f>
        <v>2</v>
      </c>
    </row>
    <row r="53" spans="7:66" ht="22.5" customHeight="1">
      <c r="G53" s="390" t="s">
        <v>112</v>
      </c>
      <c r="H53" s="463" t="s">
        <v>263</v>
      </c>
      <c r="I53" s="189"/>
      <c r="J53" s="232"/>
      <c r="K53" s="189"/>
      <c r="L53" s="460">
        <f>IF(L17=0,0,L19/L17*100)</f>
        <v>0</v>
      </c>
      <c r="M53" s="460">
        <f>IF(M17=0,0,M19/M17*100)</f>
        <v>1.1764705882352942</v>
      </c>
      <c r="N53" s="460">
        <f t="shared" si="4"/>
        <v>0</v>
      </c>
      <c r="O53" s="455" t="s">
        <v>118</v>
      </c>
      <c r="P53" s="460">
        <f>IF(N53&lt;80,1,IF(N53&gt;=80,IF(N53&lt;=120,2,3)))</f>
        <v>1</v>
      </c>
      <c r="Q53" s="252"/>
      <c r="R53" s="250">
        <f>IF(R17=0,0,R19/R17*100)</f>
        <v>1.1416980585337584</v>
      </c>
      <c r="S53" s="250">
        <f>IF(S17=0,0,S19/S17*100)</f>
        <v>1.1416980585337584</v>
      </c>
      <c r="T53" s="250">
        <f t="shared" si="5"/>
        <v>100</v>
      </c>
      <c r="U53" s="248" t="s">
        <v>118</v>
      </c>
      <c r="V53" s="250">
        <f>IF(T53&lt;80,1,IF(T53&gt;=80,IF(T53&lt;=120,2,3)))</f>
        <v>2</v>
      </c>
      <c r="W53" s="252"/>
      <c r="X53" s="250">
        <f>IF(X17=0,0,X19/X17*100)</f>
        <v>1.176470588235294</v>
      </c>
      <c r="Y53" s="250">
        <f>IF(Y17=0,0,Y19/Y17*100)</f>
        <v>1.176470588235294</v>
      </c>
      <c r="Z53" s="250">
        <f t="shared" si="6"/>
        <v>100</v>
      </c>
      <c r="AA53" s="248" t="s">
        <v>118</v>
      </c>
      <c r="AB53" s="250">
        <f>IF(Z53&lt;80,1,IF(Z53&gt;=80,IF(Z53&lt;=120,2,3)))</f>
        <v>2</v>
      </c>
      <c r="AC53" s="229"/>
      <c r="AD53" s="250">
        <f>IF(AD17=0,0,AD19/AD17*100)</f>
        <v>1.2123021797551508</v>
      </c>
      <c r="AE53" s="250">
        <f>IF(AE17=0,0,AE19/AE17*100)</f>
        <v>1.2123021797551508</v>
      </c>
      <c r="AF53" s="250">
        <f t="shared" si="7"/>
        <v>100</v>
      </c>
      <c r="AG53" s="248" t="s">
        <v>118</v>
      </c>
      <c r="AH53" s="250">
        <f>IF(AF53&lt;80,1,IF(AF53&gt;=80,IF(AF53&lt;=120,2,3)))</f>
        <v>2</v>
      </c>
      <c r="AI53" s="229"/>
      <c r="AJ53" s="250">
        <f>IF(AJ17=0,0,AJ19/AJ17*100)</f>
        <v>1.2492250887832261</v>
      </c>
      <c r="AK53" s="250">
        <f>IF(AK17=0,0,AK19/AK17*100)</f>
        <v>1.2492250887832261</v>
      </c>
      <c r="AL53" s="250">
        <f t="shared" si="8"/>
        <v>100</v>
      </c>
      <c r="AM53" s="248" t="s">
        <v>118</v>
      </c>
      <c r="AN53" s="250">
        <f>IF(AL53&lt;80,1,IF(AL53&gt;=80,IF(AL53&lt;=120,2,3)))</f>
        <v>2</v>
      </c>
      <c r="AO53" s="229"/>
      <c r="AP53" s="229"/>
      <c r="AQ53" s="229"/>
      <c r="AR53" s="250">
        <f>IF(AR17=0,0,AR19/AR17*100)</f>
        <v>0</v>
      </c>
      <c r="AS53" s="250">
        <f>IF(AS17=0,0,AS19/AS17*100)</f>
        <v>0</v>
      </c>
      <c r="AT53" s="250">
        <f t="shared" si="9"/>
        <v>100</v>
      </c>
      <c r="AU53" s="248" t="s">
        <v>118</v>
      </c>
      <c r="AV53" s="250">
        <f>IF(AT53&lt;80,1,IF(AT53&gt;=80,IF(AT53&lt;=120,2,3)))</f>
        <v>2</v>
      </c>
      <c r="AW53" s="252"/>
      <c r="AX53" s="250">
        <f>IF(AX17=0,0,AX19/AX17*100)</f>
        <v>0</v>
      </c>
      <c r="AY53" s="250">
        <f>IF(AY17=0,0,AY19/AY17*100)</f>
        <v>0</v>
      </c>
      <c r="AZ53" s="250">
        <f t="shared" si="10"/>
        <v>100</v>
      </c>
      <c r="BA53" s="248" t="s">
        <v>118</v>
      </c>
      <c r="BB53" s="250">
        <f>IF(AZ53&lt;80,1,IF(AZ53&gt;=80,IF(AZ53&lt;=120,2,3)))</f>
        <v>2</v>
      </c>
      <c r="BC53" s="229"/>
      <c r="BD53" s="250">
        <f>IF(BD17=0,0,BD19/BD17*100)</f>
        <v>0</v>
      </c>
      <c r="BE53" s="250">
        <f>IF(BE17=0,0,BE19/BE17*100)</f>
        <v>0</v>
      </c>
      <c r="BF53" s="250">
        <f t="shared" si="11"/>
        <v>100</v>
      </c>
      <c r="BG53" s="248" t="s">
        <v>118</v>
      </c>
      <c r="BH53" s="250">
        <f>IF(BF53&lt;80,1,IF(BF53&gt;=80,IF(BF53&lt;=120,2,3)))</f>
        <v>2</v>
      </c>
      <c r="BI53" s="229"/>
      <c r="BJ53" s="250">
        <f>IF(BJ17=0,0,BJ19/BJ17*100)</f>
        <v>0</v>
      </c>
      <c r="BK53" s="250">
        <f>IF(BK17=0,0,BK19/BK17*100)</f>
        <v>0</v>
      </c>
      <c r="BL53" s="250">
        <f t="shared" si="12"/>
        <v>100</v>
      </c>
      <c r="BM53" s="248" t="s">
        <v>118</v>
      </c>
      <c r="BN53" s="250">
        <f>IF(BL53&lt;80,1,IF(BL53&gt;=80,IF(BL53&lt;=120,2,3)))</f>
        <v>2</v>
      </c>
    </row>
    <row r="54" spans="7:66" ht="45">
      <c r="G54" s="390" t="s">
        <v>139</v>
      </c>
      <c r="H54" s="463" t="s">
        <v>264</v>
      </c>
      <c r="I54" s="189"/>
      <c r="J54" s="232"/>
      <c r="K54" s="189"/>
      <c r="L54" s="460">
        <f>IF(L16=0,0,L20/L16*100)</f>
        <v>0.16052974816895757</v>
      </c>
      <c r="M54" s="460">
        <f>IF(M16=0,0,M20/M16*100)</f>
        <v>0.049941734642916596</v>
      </c>
      <c r="N54" s="460">
        <f t="shared" si="4"/>
        <v>321.4340657503094</v>
      </c>
      <c r="O54" s="455" t="s">
        <v>118</v>
      </c>
      <c r="P54" s="460">
        <f>IF(N54&lt;80,1,IF(N54&gt;=80,IF(N54&lt;=120,2,3)))</f>
        <v>3</v>
      </c>
      <c r="Q54" s="252"/>
      <c r="R54" s="250">
        <f>IF(R16=0,0,R20/R16*100)</f>
        <v>0.049941734642916596</v>
      </c>
      <c r="S54" s="250">
        <f>IF(S16=0,0,S20/S16*100)</f>
        <v>0.049941734642916596</v>
      </c>
      <c r="T54" s="250">
        <f t="shared" si="5"/>
        <v>100</v>
      </c>
      <c r="U54" s="248" t="s">
        <v>118</v>
      </c>
      <c r="V54" s="250">
        <f>IF(T54&lt;80,1,IF(T54&gt;=80,IF(T54&lt;=120,2,3)))</f>
        <v>2</v>
      </c>
      <c r="W54" s="252"/>
      <c r="X54" s="250">
        <f>IF(X16=0,0,X20/X16*100)</f>
        <v>0.050690860662560344</v>
      </c>
      <c r="Y54" s="250">
        <f>IF(Y16=0,0,Y20/Y16*100)</f>
        <v>0.050690860662560344</v>
      </c>
      <c r="Z54" s="250">
        <f t="shared" si="6"/>
        <v>100</v>
      </c>
      <c r="AA54" s="248" t="s">
        <v>118</v>
      </c>
      <c r="AB54" s="250">
        <f>IF(Z54&lt;80,1,IF(Z54&gt;=80,IF(Z54&lt;=120,2,3)))</f>
        <v>2</v>
      </c>
      <c r="AC54" s="229"/>
      <c r="AD54" s="250">
        <f>IF(AD16=0,0,AD20/AD16*100)</f>
        <v>0.05145122357249875</v>
      </c>
      <c r="AE54" s="250">
        <f>IF(AE16=0,0,AE20/AE16*100)</f>
        <v>0.05145122357249875</v>
      </c>
      <c r="AF54" s="250">
        <f t="shared" si="7"/>
        <v>100</v>
      </c>
      <c r="AG54" s="248" t="s">
        <v>118</v>
      </c>
      <c r="AH54" s="250">
        <f>IF(AF54&lt;80,1,IF(AF54&gt;=80,IF(AF54&lt;=120,2,3)))</f>
        <v>2</v>
      </c>
      <c r="AI54" s="229"/>
      <c r="AJ54" s="250">
        <f>IF(AJ16=0,0,AJ20/AJ16*100)</f>
        <v>0.052222991926086225</v>
      </c>
      <c r="AK54" s="250">
        <f>IF(AK16=0,0,AK20/AK16*100)</f>
        <v>0.052222991926086225</v>
      </c>
      <c r="AL54" s="250">
        <f t="shared" si="8"/>
        <v>100</v>
      </c>
      <c r="AM54" s="248" t="s">
        <v>118</v>
      </c>
      <c r="AN54" s="250">
        <f>IF(AL54&lt;80,1,IF(AL54&gt;=80,IF(AL54&lt;=120,2,3)))</f>
        <v>2</v>
      </c>
      <c r="AO54" s="229"/>
      <c r="AP54" s="229"/>
      <c r="AQ54" s="229"/>
      <c r="AR54" s="250">
        <f>IF(AR16=0,0,AR20/AR16*100)</f>
        <v>0</v>
      </c>
      <c r="AS54" s="250">
        <f>IF(AS16=0,0,AS20/AS16*100)</f>
        <v>0</v>
      </c>
      <c r="AT54" s="250">
        <f t="shared" si="9"/>
        <v>100</v>
      </c>
      <c r="AU54" s="248" t="s">
        <v>118</v>
      </c>
      <c r="AV54" s="250">
        <f>IF(AT54&lt;80,1,IF(AT54&gt;=80,IF(AT54&lt;=120,2,3)))</f>
        <v>2</v>
      </c>
      <c r="AW54" s="252"/>
      <c r="AX54" s="250">
        <f>IF(AX16=0,0,AX20/AX16*100)</f>
        <v>0</v>
      </c>
      <c r="AY54" s="250">
        <f>IF(AY16=0,0,AY20/AY16*100)</f>
        <v>0</v>
      </c>
      <c r="AZ54" s="250">
        <f t="shared" si="10"/>
        <v>100</v>
      </c>
      <c r="BA54" s="248" t="s">
        <v>118</v>
      </c>
      <c r="BB54" s="250">
        <f>IF(AZ54&lt;80,1,IF(AZ54&gt;=80,IF(AZ54&lt;=120,2,3)))</f>
        <v>2</v>
      </c>
      <c r="BC54" s="229"/>
      <c r="BD54" s="250">
        <f>IF(BD16=0,0,BD20/BD16*100)</f>
        <v>0</v>
      </c>
      <c r="BE54" s="250">
        <f>IF(BE16=0,0,BE20/BE16*100)</f>
        <v>0</v>
      </c>
      <c r="BF54" s="250">
        <f t="shared" si="11"/>
        <v>100</v>
      </c>
      <c r="BG54" s="248" t="s">
        <v>118</v>
      </c>
      <c r="BH54" s="250">
        <f>IF(BF54&lt;80,1,IF(BF54&gt;=80,IF(BF54&lt;=120,2,3)))</f>
        <v>2</v>
      </c>
      <c r="BI54" s="229"/>
      <c r="BJ54" s="250">
        <f>IF(BJ16=0,0,BJ20/BJ16*100)</f>
        <v>0</v>
      </c>
      <c r="BK54" s="250">
        <f>IF(BK16=0,0,BK20/BK16*100)</f>
        <v>0</v>
      </c>
      <c r="BL54" s="250">
        <f t="shared" si="12"/>
        <v>100</v>
      </c>
      <c r="BM54" s="248" t="s">
        <v>118</v>
      </c>
      <c r="BN54" s="250">
        <f>IF(BL54&lt;80,1,IF(BL54&gt;=80,IF(BL54&lt;=120,2,3)))</f>
        <v>2</v>
      </c>
    </row>
    <row r="55" spans="7:66" ht="33.75">
      <c r="G55" s="390" t="s">
        <v>138</v>
      </c>
      <c r="H55" s="463" t="s">
        <v>265</v>
      </c>
      <c r="I55" s="189"/>
      <c r="J55" s="232"/>
      <c r="K55" s="189"/>
      <c r="L55" s="460">
        <f>IF(L16=0,0,L21/L16*100)</f>
        <v>0.060198655563359085</v>
      </c>
      <c r="M55" s="460">
        <f>IF(M16=0,0,M21/M16*100)</f>
        <v>0.049941734642916596</v>
      </c>
      <c r="N55" s="460">
        <f t="shared" si="4"/>
        <v>120.53777465636601</v>
      </c>
      <c r="O55" s="455" t="s">
        <v>119</v>
      </c>
      <c r="P55" s="460">
        <f>IF(N55&lt;80,3,IF(N55&gt;=80,IF(N55&lt;=120,2,1)))</f>
        <v>1</v>
      </c>
      <c r="Q55" s="252"/>
      <c r="R55" s="250">
        <f>IF(R16=0,0,R21/R16*100)</f>
        <v>0.04919260862327285</v>
      </c>
      <c r="S55" s="250">
        <f>IF(S16=0,0,S21/S16*100)</f>
        <v>0.04919260862327285</v>
      </c>
      <c r="T55" s="250">
        <f t="shared" si="5"/>
        <v>100</v>
      </c>
      <c r="U55" s="248" t="s">
        <v>119</v>
      </c>
      <c r="V55" s="250">
        <f>IF(T55&lt;80,3,IF(T55&gt;=80,IF(T55&lt;=120,2,1)))</f>
        <v>2</v>
      </c>
      <c r="W55" s="252"/>
      <c r="X55" s="250">
        <f>IF(X16=0,0,X21/X16*100)</f>
        <v>0.048454719493923756</v>
      </c>
      <c r="Y55" s="250">
        <f>IF(Y16=0,0,Y21/Y16*100)</f>
        <v>0.048454719493923756</v>
      </c>
      <c r="Z55" s="250">
        <f t="shared" si="6"/>
        <v>100</v>
      </c>
      <c r="AA55" s="248" t="s">
        <v>119</v>
      </c>
      <c r="AB55" s="250">
        <f>IF(Z55&lt;80,3,IF(Z55&gt;=80,IF(Z55&lt;=120,2,1)))</f>
        <v>2</v>
      </c>
      <c r="AC55" s="229"/>
      <c r="AD55" s="250">
        <f>IF(AD16=0,0,AD21/AD16*100)</f>
        <v>0.04772789870151489</v>
      </c>
      <c r="AE55" s="250">
        <f>IF(AE16=0,0,AE21/AE16*100)</f>
        <v>0.04772789870151489</v>
      </c>
      <c r="AF55" s="250">
        <f t="shared" si="7"/>
        <v>100</v>
      </c>
      <c r="AG55" s="248" t="s">
        <v>119</v>
      </c>
      <c r="AH55" s="250">
        <f>IF(AF55&lt;80,3,IF(AF55&gt;=80,IF(AF55&lt;=120,2,1)))</f>
        <v>2</v>
      </c>
      <c r="AI55" s="229"/>
      <c r="AJ55" s="250">
        <f>IF(AJ16=0,0,AJ21/AJ16*100)</f>
        <v>0.047011980220992164</v>
      </c>
      <c r="AK55" s="250">
        <f>IF(AK16=0,0,AK21/AK16*100)</f>
        <v>0.047011980220992164</v>
      </c>
      <c r="AL55" s="250">
        <f t="shared" si="8"/>
        <v>100</v>
      </c>
      <c r="AM55" s="248" t="s">
        <v>119</v>
      </c>
      <c r="AN55" s="250">
        <f>IF(AL55&lt;80,3,IF(AL55&gt;=80,IF(AL55&lt;=120,2,1)))</f>
        <v>2</v>
      </c>
      <c r="AO55" s="229"/>
      <c r="AP55" s="229"/>
      <c r="AQ55" s="229"/>
      <c r="AR55" s="250">
        <f>IF(AR16=0,0,AR21/AR16*100)</f>
        <v>0</v>
      </c>
      <c r="AS55" s="250">
        <f>IF(AS16=0,0,AS21/AS16*100)</f>
        <v>0</v>
      </c>
      <c r="AT55" s="250">
        <f t="shared" si="9"/>
        <v>100</v>
      </c>
      <c r="AU55" s="248" t="s">
        <v>119</v>
      </c>
      <c r="AV55" s="250">
        <f>IF(AT55&lt;80,3,IF(AT55&gt;=80,IF(AT55&lt;=120,2,1)))</f>
        <v>2</v>
      </c>
      <c r="AW55" s="252"/>
      <c r="AX55" s="250">
        <f>IF(AX16=0,0,AX21/AX16*100)</f>
        <v>0</v>
      </c>
      <c r="AY55" s="250">
        <f>IF(AY16=0,0,AY21/AY16*100)</f>
        <v>0</v>
      </c>
      <c r="AZ55" s="250">
        <f t="shared" si="10"/>
        <v>100</v>
      </c>
      <c r="BA55" s="248" t="s">
        <v>119</v>
      </c>
      <c r="BB55" s="250">
        <f>IF(AZ55&lt;80,3,IF(AZ55&gt;=80,IF(AZ55&lt;=120,2,1)))</f>
        <v>2</v>
      </c>
      <c r="BC55" s="229"/>
      <c r="BD55" s="250">
        <f>IF(BD16=0,0,BD21/BD16*100)</f>
        <v>0</v>
      </c>
      <c r="BE55" s="250">
        <f>IF(BE16=0,0,BE21/BE16*100)</f>
        <v>0</v>
      </c>
      <c r="BF55" s="250">
        <f t="shared" si="11"/>
        <v>100</v>
      </c>
      <c r="BG55" s="248" t="s">
        <v>119</v>
      </c>
      <c r="BH55" s="250">
        <f>IF(BF55&lt;80,3,IF(BF55&gt;=80,IF(BF55&lt;=120,2,1)))</f>
        <v>2</v>
      </c>
      <c r="BI55" s="229"/>
      <c r="BJ55" s="250">
        <f>IF(BJ16=0,0,BJ21/BJ16*100)</f>
        <v>0</v>
      </c>
      <c r="BK55" s="250">
        <f>IF(BK16=0,0,BK21/BK16*100)</f>
        <v>0</v>
      </c>
      <c r="BL55" s="250">
        <f t="shared" si="12"/>
        <v>100</v>
      </c>
      <c r="BM55" s="248" t="s">
        <v>119</v>
      </c>
      <c r="BN55" s="250">
        <f>IF(BL55&lt;80,3,IF(BL55&gt;=80,IF(BL55&lt;=120,2,1)))</f>
        <v>2</v>
      </c>
    </row>
    <row r="56" spans="7:66" ht="22.5">
      <c r="G56" s="390" t="s">
        <v>137</v>
      </c>
      <c r="H56" s="463" t="s">
        <v>260</v>
      </c>
      <c r="I56" s="189"/>
      <c r="J56" s="232"/>
      <c r="K56" s="189"/>
      <c r="L56" s="460">
        <f>L22</f>
        <v>5</v>
      </c>
      <c r="M56" s="460">
        <f>M22</f>
        <v>2</v>
      </c>
      <c r="N56" s="460">
        <f t="shared" si="4"/>
        <v>250</v>
      </c>
      <c r="O56" s="455" t="s">
        <v>119</v>
      </c>
      <c r="P56" s="460">
        <f>IF(N56&lt;80,3,IF(N56&gt;=80,IF(N56&lt;=120,2,1)))</f>
        <v>1</v>
      </c>
      <c r="Q56" s="252"/>
      <c r="R56" s="250">
        <f>R22</f>
        <v>1.97</v>
      </c>
      <c r="S56" s="250">
        <f>S22</f>
        <v>1.97</v>
      </c>
      <c r="T56" s="250">
        <f t="shared" si="5"/>
        <v>100</v>
      </c>
      <c r="U56" s="248" t="s">
        <v>119</v>
      </c>
      <c r="V56" s="250">
        <f>IF(T56&lt;80,3,IF(T56&gt;=80,IF(T56&lt;=120,2,1)))</f>
        <v>2</v>
      </c>
      <c r="W56" s="252"/>
      <c r="X56" s="250">
        <f>X22</f>
        <v>1.94045</v>
      </c>
      <c r="Y56" s="250">
        <f>Y22</f>
        <v>1.94045</v>
      </c>
      <c r="Z56" s="250">
        <f t="shared" si="6"/>
        <v>100</v>
      </c>
      <c r="AA56" s="248" t="s">
        <v>119</v>
      </c>
      <c r="AB56" s="250">
        <f>IF(Z56&lt;80,3,IF(Z56&gt;=80,IF(Z56&lt;=120,2,1)))</f>
        <v>2</v>
      </c>
      <c r="AC56" s="229"/>
      <c r="AD56" s="250">
        <f>AD22</f>
        <v>1.91134325</v>
      </c>
      <c r="AE56" s="250">
        <f>AE22</f>
        <v>1.91134325</v>
      </c>
      <c r="AF56" s="250">
        <f t="shared" si="7"/>
        <v>100</v>
      </c>
      <c r="AG56" s="248" t="s">
        <v>119</v>
      </c>
      <c r="AH56" s="250">
        <f>IF(AF56&lt;80,3,IF(AF56&gt;=80,IF(AF56&lt;=120,2,1)))</f>
        <v>2</v>
      </c>
      <c r="AI56" s="229"/>
      <c r="AJ56" s="250">
        <f>AJ22</f>
        <v>1.88267310125</v>
      </c>
      <c r="AK56" s="250">
        <f>AK22</f>
        <v>1.88267310125</v>
      </c>
      <c r="AL56" s="250">
        <f t="shared" si="8"/>
        <v>100</v>
      </c>
      <c r="AM56" s="248" t="s">
        <v>119</v>
      </c>
      <c r="AN56" s="250">
        <f>IF(AL56&lt;80,3,IF(AL56&gt;=80,IF(AL56&lt;=120,2,1)))</f>
        <v>2</v>
      </c>
      <c r="AO56" s="229"/>
      <c r="AP56" s="229"/>
      <c r="AQ56" s="229"/>
      <c r="AR56" s="250">
        <f>AR22</f>
        <v>0</v>
      </c>
      <c r="AS56" s="250">
        <f>AS22</f>
        <v>0</v>
      </c>
      <c r="AT56" s="250">
        <f t="shared" si="9"/>
        <v>100</v>
      </c>
      <c r="AU56" s="248" t="s">
        <v>119</v>
      </c>
      <c r="AV56" s="250">
        <f>IF(AT56&lt;80,3,IF(AT56&gt;=80,IF(AT56&lt;=120,2,1)))</f>
        <v>2</v>
      </c>
      <c r="AW56" s="252"/>
      <c r="AX56" s="250">
        <f>AX22</f>
        <v>0</v>
      </c>
      <c r="AY56" s="250">
        <f>AY22</f>
        <v>0</v>
      </c>
      <c r="AZ56" s="250">
        <f t="shared" si="10"/>
        <v>100</v>
      </c>
      <c r="BA56" s="248" t="s">
        <v>119</v>
      </c>
      <c r="BB56" s="250">
        <f>IF(AZ56&lt;80,3,IF(AZ56&gt;=80,IF(AZ56&lt;=120,2,1)))</f>
        <v>2</v>
      </c>
      <c r="BC56" s="229"/>
      <c r="BD56" s="250">
        <f>BD22</f>
        <v>0</v>
      </c>
      <c r="BE56" s="250">
        <f>BE22</f>
        <v>0</v>
      </c>
      <c r="BF56" s="250">
        <f t="shared" si="11"/>
        <v>100</v>
      </c>
      <c r="BG56" s="248" t="s">
        <v>119</v>
      </c>
      <c r="BH56" s="250">
        <f>IF(BF56&lt;80,3,IF(BF56&gt;=80,IF(BF56&lt;=120,2,1)))</f>
        <v>2</v>
      </c>
      <c r="BI56" s="229"/>
      <c r="BJ56" s="250">
        <f>BJ22</f>
        <v>0</v>
      </c>
      <c r="BK56" s="250">
        <f>BK22</f>
        <v>0</v>
      </c>
      <c r="BL56" s="250">
        <f t="shared" si="12"/>
        <v>100</v>
      </c>
      <c r="BM56" s="248" t="s">
        <v>119</v>
      </c>
      <c r="BN56" s="250">
        <f>IF(BL56&lt;80,3,IF(BL56&gt;=80,IF(BL56&lt;=120,2,1)))</f>
        <v>2</v>
      </c>
    </row>
    <row r="57" spans="7:66" ht="11.25">
      <c r="G57" s="390" t="s">
        <v>81</v>
      </c>
      <c r="H57" s="445" t="s">
        <v>232</v>
      </c>
      <c r="I57" s="184"/>
      <c r="J57" s="232"/>
      <c r="K57" s="184"/>
      <c r="L57" s="455"/>
      <c r="M57" s="455"/>
      <c r="N57" s="455"/>
      <c r="O57" s="455"/>
      <c r="P57" s="460">
        <f>(P59+P60)/2</f>
        <v>2</v>
      </c>
      <c r="Q57" s="252"/>
      <c r="R57" s="248"/>
      <c r="S57" s="248"/>
      <c r="T57" s="248"/>
      <c r="U57" s="248"/>
      <c r="V57" s="250">
        <f>(V59+V60)/2</f>
        <v>2</v>
      </c>
      <c r="W57" s="252"/>
      <c r="X57" s="248"/>
      <c r="Y57" s="248"/>
      <c r="Z57" s="248"/>
      <c r="AA57" s="248"/>
      <c r="AB57" s="250">
        <f>(AB59+AB60)/2</f>
        <v>2</v>
      </c>
      <c r="AC57" s="229"/>
      <c r="AD57" s="248"/>
      <c r="AE57" s="248"/>
      <c r="AF57" s="248"/>
      <c r="AG57" s="248"/>
      <c r="AH57" s="250">
        <f>(AH59+AH60)/2</f>
        <v>2</v>
      </c>
      <c r="AI57" s="229"/>
      <c r="AJ57" s="248"/>
      <c r="AK57" s="248"/>
      <c r="AL57" s="248"/>
      <c r="AM57" s="248"/>
      <c r="AN57" s="250">
        <f>(AN59+AN60)/2</f>
        <v>2</v>
      </c>
      <c r="AO57" s="229"/>
      <c r="AP57" s="229"/>
      <c r="AQ57" s="229"/>
      <c r="AR57" s="248"/>
      <c r="AS57" s="248"/>
      <c r="AT57" s="248"/>
      <c r="AU57" s="248"/>
      <c r="AV57" s="250">
        <f>(AV59+AV60)/2</f>
        <v>2</v>
      </c>
      <c r="AW57" s="252"/>
      <c r="AX57" s="248"/>
      <c r="AY57" s="248"/>
      <c r="AZ57" s="248"/>
      <c r="BA57" s="248"/>
      <c r="BB57" s="250">
        <f>(BB59+BB60)/2</f>
        <v>2</v>
      </c>
      <c r="BC57" s="229"/>
      <c r="BD57" s="248"/>
      <c r="BE57" s="248"/>
      <c r="BF57" s="248"/>
      <c r="BG57" s="248"/>
      <c r="BH57" s="250">
        <f>(BH59+BH60)/2</f>
        <v>2</v>
      </c>
      <c r="BI57" s="229"/>
      <c r="BJ57" s="248"/>
      <c r="BK57" s="248"/>
      <c r="BL57" s="248"/>
      <c r="BM57" s="248"/>
      <c r="BN57" s="250">
        <f>(BN59+BN60)/2</f>
        <v>2</v>
      </c>
    </row>
    <row r="58" spans="7:66" ht="11.25">
      <c r="G58" s="390"/>
      <c r="H58" s="445" t="s">
        <v>219</v>
      </c>
      <c r="I58" s="184"/>
      <c r="J58" s="232"/>
      <c r="K58" s="184"/>
      <c r="L58" s="461"/>
      <c r="M58" s="461"/>
      <c r="N58" s="461"/>
      <c r="O58" s="455"/>
      <c r="P58" s="461"/>
      <c r="Q58" s="259"/>
      <c r="R58" s="251"/>
      <c r="S58" s="251"/>
      <c r="T58" s="251"/>
      <c r="U58" s="248"/>
      <c r="V58" s="251"/>
      <c r="W58" s="259"/>
      <c r="X58" s="251"/>
      <c r="Y58" s="251"/>
      <c r="Z58" s="251"/>
      <c r="AA58" s="248"/>
      <c r="AB58" s="251"/>
      <c r="AC58" s="229"/>
      <c r="AD58" s="251"/>
      <c r="AE58" s="251"/>
      <c r="AF58" s="251"/>
      <c r="AG58" s="248"/>
      <c r="AH58" s="251"/>
      <c r="AI58" s="229"/>
      <c r="AJ58" s="251"/>
      <c r="AK58" s="251"/>
      <c r="AL58" s="251"/>
      <c r="AM58" s="248"/>
      <c r="AN58" s="251"/>
      <c r="AO58" s="229"/>
      <c r="AP58" s="229"/>
      <c r="AQ58" s="229"/>
      <c r="AR58" s="251"/>
      <c r="AS58" s="251"/>
      <c r="AT58" s="251"/>
      <c r="AU58" s="248"/>
      <c r="AV58" s="251"/>
      <c r="AW58" s="259"/>
      <c r="AX58" s="251"/>
      <c r="AY58" s="251"/>
      <c r="AZ58" s="251"/>
      <c r="BA58" s="248"/>
      <c r="BB58" s="251"/>
      <c r="BC58" s="229"/>
      <c r="BD58" s="251"/>
      <c r="BE58" s="251"/>
      <c r="BF58" s="251"/>
      <c r="BG58" s="248"/>
      <c r="BH58" s="251"/>
      <c r="BI58" s="229"/>
      <c r="BJ58" s="251"/>
      <c r="BK58" s="251"/>
      <c r="BL58" s="251"/>
      <c r="BM58" s="248"/>
      <c r="BN58" s="251"/>
    </row>
    <row r="59" spans="7:66" ht="22.5">
      <c r="G59" s="390" t="s">
        <v>136</v>
      </c>
      <c r="H59" s="463" t="s">
        <v>171</v>
      </c>
      <c r="I59" s="189"/>
      <c r="J59" s="232"/>
      <c r="K59" s="189"/>
      <c r="L59" s="460">
        <f>L24</f>
        <v>24</v>
      </c>
      <c r="M59" s="460">
        <f>M24</f>
        <v>30</v>
      </c>
      <c r="N59" s="460">
        <f>IF(M59&gt;0,L59/M59*100,IF(L59=0,100,120))</f>
        <v>80</v>
      </c>
      <c r="O59" s="455" t="s">
        <v>118</v>
      </c>
      <c r="P59" s="460">
        <f>IF(N59&lt;80,1,IF(N59&gt;=80,IF(N59&lt;=120,2,3)))</f>
        <v>2</v>
      </c>
      <c r="Q59" s="252"/>
      <c r="R59" s="250">
        <f>R24</f>
        <v>29.55</v>
      </c>
      <c r="S59" s="250">
        <f>S24</f>
        <v>29.55</v>
      </c>
      <c r="T59" s="250">
        <f>IF(S59&gt;0,R59/S59*100,IF(R59=0,100,120))</f>
        <v>100</v>
      </c>
      <c r="U59" s="248" t="s">
        <v>118</v>
      </c>
      <c r="V59" s="250">
        <f>IF(T59&lt;80,1,IF(T59&gt;=80,IF(T59&lt;=120,2,3)))</f>
        <v>2</v>
      </c>
      <c r="W59" s="252"/>
      <c r="X59" s="250">
        <f>X24</f>
        <v>29.993249999999996</v>
      </c>
      <c r="Y59" s="250">
        <f>Y24</f>
        <v>29.993249999999996</v>
      </c>
      <c r="Z59" s="250">
        <f>IF(Y59&gt;0,X59/Y59*100,IF(X59=0,100,120))</f>
        <v>100</v>
      </c>
      <c r="AA59" s="248" t="s">
        <v>118</v>
      </c>
      <c r="AB59" s="250">
        <f>IF(Z59&lt;80,1,IF(Z59&gt;=80,IF(Z59&lt;=120,2,3)))</f>
        <v>2</v>
      </c>
      <c r="AC59" s="229"/>
      <c r="AD59" s="250">
        <f>AD24</f>
        <v>30.44314874999999</v>
      </c>
      <c r="AE59" s="250">
        <f>AE24</f>
        <v>30.44314874999999</v>
      </c>
      <c r="AF59" s="250">
        <f>IF(AE59&gt;0,AD59/AE59*100,IF(AD59=0,100,120))</f>
        <v>100</v>
      </c>
      <c r="AG59" s="248" t="s">
        <v>118</v>
      </c>
      <c r="AH59" s="250">
        <f>IF(AF59&lt;80,1,IF(AF59&gt;=80,IF(AF59&lt;=120,2,3)))</f>
        <v>2</v>
      </c>
      <c r="AI59" s="229"/>
      <c r="AJ59" s="250">
        <f>AJ24</f>
        <v>30.899795981249987</v>
      </c>
      <c r="AK59" s="250">
        <f>AK24</f>
        <v>30.899795981249987</v>
      </c>
      <c r="AL59" s="250">
        <f>IF(AK59&gt;0,AJ59/AK59*100,IF(AJ59=0,100,120))</f>
        <v>100</v>
      </c>
      <c r="AM59" s="248" t="s">
        <v>118</v>
      </c>
      <c r="AN59" s="250">
        <f>IF(AL59&lt;80,1,IF(AL59&gt;=80,IF(AL59&lt;=120,2,3)))</f>
        <v>2</v>
      </c>
      <c r="AO59" s="229"/>
      <c r="AP59" s="229"/>
      <c r="AQ59" s="229"/>
      <c r="AR59" s="250">
        <f>AR24</f>
        <v>0</v>
      </c>
      <c r="AS59" s="250">
        <f>AS24</f>
        <v>0</v>
      </c>
      <c r="AT59" s="250">
        <f>IF(AS59&gt;0,AR59/AS59*100,IF(AR59=0,100,120))</f>
        <v>100</v>
      </c>
      <c r="AU59" s="248" t="s">
        <v>118</v>
      </c>
      <c r="AV59" s="250">
        <f>IF(AT59&lt;80,1,IF(AT59&gt;=80,IF(AT59&lt;=120,2,3)))</f>
        <v>2</v>
      </c>
      <c r="AW59" s="252"/>
      <c r="AX59" s="250">
        <f>AX24</f>
        <v>0</v>
      </c>
      <c r="AY59" s="250">
        <f>AY24</f>
        <v>0</v>
      </c>
      <c r="AZ59" s="250">
        <f>IF(AY59&gt;0,AX59/AY59*100,IF(AX59=0,100,120))</f>
        <v>100</v>
      </c>
      <c r="BA59" s="248" t="s">
        <v>118</v>
      </c>
      <c r="BB59" s="250">
        <f>IF(AZ59&lt;80,1,IF(AZ59&gt;=80,IF(AZ59&lt;=120,2,3)))</f>
        <v>2</v>
      </c>
      <c r="BC59" s="229"/>
      <c r="BD59" s="250">
        <f>BD24</f>
        <v>0</v>
      </c>
      <c r="BE59" s="250">
        <f>BE24</f>
        <v>0</v>
      </c>
      <c r="BF59" s="250">
        <f>IF(BE59&gt;0,BD59/BE59*100,IF(BD59=0,100,120))</f>
        <v>100</v>
      </c>
      <c r="BG59" s="248" t="s">
        <v>118</v>
      </c>
      <c r="BH59" s="250">
        <f>IF(BF59&lt;80,1,IF(BF59&gt;=80,IF(BF59&lt;=120,2,3)))</f>
        <v>2</v>
      </c>
      <c r="BI59" s="229"/>
      <c r="BJ59" s="250">
        <f>BJ24</f>
        <v>0</v>
      </c>
      <c r="BK59" s="250">
        <f>BK24</f>
        <v>0</v>
      </c>
      <c r="BL59" s="250">
        <f>IF(BK59&gt;0,BJ59/BK59*100,IF(BJ59=0,100,120))</f>
        <v>100</v>
      </c>
      <c r="BM59" s="248" t="s">
        <v>118</v>
      </c>
      <c r="BN59" s="250">
        <f>IF(BL59&lt;80,1,IF(BL59&gt;=80,IF(BL59&lt;=120,2,3)))</f>
        <v>2</v>
      </c>
    </row>
    <row r="60" spans="7:66" ht="22.5">
      <c r="G60" s="390" t="s">
        <v>165</v>
      </c>
      <c r="H60" s="463" t="s">
        <v>172</v>
      </c>
      <c r="I60" s="189"/>
      <c r="J60" s="232"/>
      <c r="K60" s="189"/>
      <c r="L60" s="455"/>
      <c r="M60" s="455"/>
      <c r="N60" s="455"/>
      <c r="O60" s="455"/>
      <c r="P60" s="460">
        <f>(P61+P62+P63)/3</f>
        <v>2</v>
      </c>
      <c r="Q60" s="252"/>
      <c r="R60" s="248"/>
      <c r="S60" s="248"/>
      <c r="T60" s="248"/>
      <c r="U60" s="248"/>
      <c r="V60" s="250">
        <f>(V61+V62+V63)/3</f>
        <v>2</v>
      </c>
      <c r="W60" s="252"/>
      <c r="X60" s="248"/>
      <c r="Y60" s="248"/>
      <c r="Z60" s="248"/>
      <c r="AA60" s="248"/>
      <c r="AB60" s="250">
        <f>(AB61+AB62+AB63)/3</f>
        <v>2</v>
      </c>
      <c r="AC60" s="229"/>
      <c r="AD60" s="248"/>
      <c r="AE60" s="248"/>
      <c r="AF60" s="248"/>
      <c r="AG60" s="248"/>
      <c r="AH60" s="250">
        <f>(AH61+AH62+AH63)/3</f>
        <v>2</v>
      </c>
      <c r="AI60" s="229"/>
      <c r="AJ60" s="248"/>
      <c r="AK60" s="248"/>
      <c r="AL60" s="248"/>
      <c r="AM60" s="248"/>
      <c r="AN60" s="250">
        <f>(AN61+AN62+AN63)/3</f>
        <v>2</v>
      </c>
      <c r="AO60" s="229"/>
      <c r="AP60" s="229"/>
      <c r="AQ60" s="229"/>
      <c r="AR60" s="248"/>
      <c r="AS60" s="248"/>
      <c r="AT60" s="248"/>
      <c r="AU60" s="248"/>
      <c r="AV60" s="250">
        <f>(AV61+AV62+AV63)/3</f>
        <v>2</v>
      </c>
      <c r="AW60" s="252"/>
      <c r="AX60" s="248"/>
      <c r="AY60" s="248"/>
      <c r="AZ60" s="248"/>
      <c r="BA60" s="248"/>
      <c r="BB60" s="250">
        <f>(BB61+BB62+BB63)/3</f>
        <v>2</v>
      </c>
      <c r="BC60" s="229"/>
      <c r="BD60" s="248"/>
      <c r="BE60" s="248"/>
      <c r="BF60" s="248"/>
      <c r="BG60" s="248"/>
      <c r="BH60" s="250">
        <f>(BH61+BH62+BH63)/3</f>
        <v>2</v>
      </c>
      <c r="BI60" s="229"/>
      <c r="BJ60" s="248"/>
      <c r="BK60" s="248"/>
      <c r="BL60" s="248"/>
      <c r="BM60" s="248"/>
      <c r="BN60" s="250">
        <f>(BN61+BN62+BN63)/3</f>
        <v>2</v>
      </c>
    </row>
    <row r="61" spans="7:66" ht="11.25">
      <c r="G61" s="390" t="s">
        <v>191</v>
      </c>
      <c r="H61" s="464" t="s">
        <v>229</v>
      </c>
      <c r="I61" s="190"/>
      <c r="J61" s="232"/>
      <c r="K61" s="190"/>
      <c r="L61" s="460">
        <f aca="true" t="shared" si="13" ref="L61:M63">L26</f>
        <v>0</v>
      </c>
      <c r="M61" s="460">
        <f t="shared" si="13"/>
        <v>0</v>
      </c>
      <c r="N61" s="460">
        <f>IF(M61&gt;0,L61/M61*100,IF(L61=0,100,120))</f>
        <v>100</v>
      </c>
      <c r="O61" s="455" t="s">
        <v>119</v>
      </c>
      <c r="P61" s="460">
        <f>IF(N61&lt;80,3,IF(N61&gt;=80,IF(N61&lt;=120,2,1)))</f>
        <v>2</v>
      </c>
      <c r="Q61" s="252"/>
      <c r="R61" s="250">
        <f aca="true" t="shared" si="14" ref="R61:S63">R26</f>
        <v>0</v>
      </c>
      <c r="S61" s="250">
        <f t="shared" si="14"/>
        <v>0</v>
      </c>
      <c r="T61" s="250">
        <f>IF(S61&gt;0,R61/S61*100,IF(R61=0,100,120))</f>
        <v>100</v>
      </c>
      <c r="U61" s="248" t="s">
        <v>119</v>
      </c>
      <c r="V61" s="250">
        <f>IF(T61&lt;80,3,IF(T61&gt;=80,IF(T61&lt;=120,2,1)))</f>
        <v>2</v>
      </c>
      <c r="W61" s="252"/>
      <c r="X61" s="250">
        <f aca="true" t="shared" si="15" ref="X61:Y63">X26</f>
        <v>0</v>
      </c>
      <c r="Y61" s="250">
        <f t="shared" si="15"/>
        <v>0</v>
      </c>
      <c r="Z61" s="250">
        <f>IF(Y61&gt;0,X61/Y61*100,IF(X61=0,100,120))</f>
        <v>100</v>
      </c>
      <c r="AA61" s="248" t="s">
        <v>119</v>
      </c>
      <c r="AB61" s="250">
        <f>IF(Z61&lt;80,3,IF(Z61&gt;=80,IF(Z61&lt;=120,2,1)))</f>
        <v>2</v>
      </c>
      <c r="AC61" s="229"/>
      <c r="AD61" s="250">
        <f aca="true" t="shared" si="16" ref="AD61:AE63">AD26</f>
        <v>0</v>
      </c>
      <c r="AE61" s="250">
        <f t="shared" si="16"/>
        <v>0</v>
      </c>
      <c r="AF61" s="250">
        <f>IF(AE61&gt;0,AD61/AE61*100,IF(AD61=0,100,120))</f>
        <v>100</v>
      </c>
      <c r="AG61" s="248" t="s">
        <v>119</v>
      </c>
      <c r="AH61" s="250">
        <f>IF(AF61&lt;80,3,IF(AF61&gt;=80,IF(AF61&lt;=120,2,1)))</f>
        <v>2</v>
      </c>
      <c r="AI61" s="229"/>
      <c r="AJ61" s="250">
        <f aca="true" t="shared" si="17" ref="AJ61:AK63">AJ26</f>
        <v>0</v>
      </c>
      <c r="AK61" s="250">
        <f t="shared" si="17"/>
        <v>0</v>
      </c>
      <c r="AL61" s="250">
        <f>IF(AK61&gt;0,AJ61/AK61*100,IF(AJ61=0,100,120))</f>
        <v>100</v>
      </c>
      <c r="AM61" s="248" t="s">
        <v>119</v>
      </c>
      <c r="AN61" s="250">
        <f>IF(AL61&lt;80,3,IF(AL61&gt;=80,IF(AL61&lt;=120,2,1)))</f>
        <v>2</v>
      </c>
      <c r="AO61" s="229"/>
      <c r="AP61" s="229"/>
      <c r="AQ61" s="229"/>
      <c r="AR61" s="250">
        <f aca="true" t="shared" si="18" ref="AR61:AS63">AR26</f>
        <v>0</v>
      </c>
      <c r="AS61" s="250">
        <f t="shared" si="18"/>
        <v>0</v>
      </c>
      <c r="AT61" s="250">
        <f>IF(AS61&gt;0,AR61/AS61*100,IF(AR61=0,100,120))</f>
        <v>100</v>
      </c>
      <c r="AU61" s="248" t="s">
        <v>119</v>
      </c>
      <c r="AV61" s="250">
        <f>IF(AT61&lt;80,3,IF(AT61&gt;=80,IF(AT61&lt;=120,2,1)))</f>
        <v>2</v>
      </c>
      <c r="AW61" s="252"/>
      <c r="AX61" s="250">
        <f aca="true" t="shared" si="19" ref="AX61:AY63">AX26</f>
        <v>0</v>
      </c>
      <c r="AY61" s="250">
        <f t="shared" si="19"/>
        <v>0</v>
      </c>
      <c r="AZ61" s="250">
        <f>IF(AY61&gt;0,AX61/AY61*100,IF(AX61=0,100,120))</f>
        <v>100</v>
      </c>
      <c r="BA61" s="248" t="s">
        <v>119</v>
      </c>
      <c r="BB61" s="250">
        <f>IF(AZ61&lt;80,3,IF(AZ61&gt;=80,IF(AZ61&lt;=120,2,1)))</f>
        <v>2</v>
      </c>
      <c r="BC61" s="229"/>
      <c r="BD61" s="250">
        <f aca="true" t="shared" si="20" ref="BD61:BE63">BD26</f>
        <v>0</v>
      </c>
      <c r="BE61" s="250">
        <f t="shared" si="20"/>
        <v>0</v>
      </c>
      <c r="BF61" s="250">
        <f>IF(BE61&gt;0,BD61/BE61*100,IF(BD61=0,100,120))</f>
        <v>100</v>
      </c>
      <c r="BG61" s="248" t="s">
        <v>119</v>
      </c>
      <c r="BH61" s="250">
        <f>IF(BF61&lt;80,3,IF(BF61&gt;=80,IF(BF61&lt;=120,2,1)))</f>
        <v>2</v>
      </c>
      <c r="BI61" s="229"/>
      <c r="BJ61" s="250">
        <f aca="true" t="shared" si="21" ref="BJ61:BK63">BJ26</f>
        <v>0</v>
      </c>
      <c r="BK61" s="250">
        <f t="shared" si="21"/>
        <v>0</v>
      </c>
      <c r="BL61" s="250">
        <f>IF(BK61&gt;0,BJ61/BK61*100,IF(BJ61=0,100,120))</f>
        <v>100</v>
      </c>
      <c r="BM61" s="248" t="s">
        <v>119</v>
      </c>
      <c r="BN61" s="250">
        <f>IF(BL61&lt;80,3,IF(BL61&gt;=80,IF(BL61&lt;=120,2,1)))</f>
        <v>2</v>
      </c>
    </row>
    <row r="62" spans="7:66" ht="11.25">
      <c r="G62" s="390" t="s">
        <v>192</v>
      </c>
      <c r="H62" s="464" t="s">
        <v>230</v>
      </c>
      <c r="I62" s="190"/>
      <c r="J62" s="232"/>
      <c r="K62" s="190"/>
      <c r="L62" s="460">
        <f t="shared" si="13"/>
        <v>0</v>
      </c>
      <c r="M62" s="460">
        <f t="shared" si="13"/>
        <v>0</v>
      </c>
      <c r="N62" s="460">
        <f>IF(M62&gt;0,L62/M62*100,IF(L62=0,100,120))</f>
        <v>100</v>
      </c>
      <c r="O62" s="455" t="s">
        <v>119</v>
      </c>
      <c r="P62" s="460">
        <f>IF(N62&lt;80,3,IF(N62&gt;=80,IF(N62&lt;=120,2,1)))</f>
        <v>2</v>
      </c>
      <c r="Q62" s="252"/>
      <c r="R62" s="250">
        <f t="shared" si="14"/>
        <v>0</v>
      </c>
      <c r="S62" s="250">
        <f t="shared" si="14"/>
        <v>0</v>
      </c>
      <c r="T62" s="250">
        <f>IF(S62&gt;0,R62/S62*100,IF(R62=0,100,120))</f>
        <v>100</v>
      </c>
      <c r="U62" s="248" t="s">
        <v>119</v>
      </c>
      <c r="V62" s="250">
        <f>IF(T62&lt;80,3,IF(T62&gt;=80,IF(T62&lt;=120,2,1)))</f>
        <v>2</v>
      </c>
      <c r="W62" s="252"/>
      <c r="X62" s="250">
        <f t="shared" si="15"/>
        <v>0</v>
      </c>
      <c r="Y62" s="250">
        <f t="shared" si="15"/>
        <v>0</v>
      </c>
      <c r="Z62" s="250">
        <f>IF(Y62&gt;0,X62/Y62*100,IF(X62=0,100,120))</f>
        <v>100</v>
      </c>
      <c r="AA62" s="248" t="s">
        <v>119</v>
      </c>
      <c r="AB62" s="250">
        <f>IF(Z62&lt;80,3,IF(Z62&gt;=80,IF(Z62&lt;=120,2,1)))</f>
        <v>2</v>
      </c>
      <c r="AC62" s="229"/>
      <c r="AD62" s="250">
        <f t="shared" si="16"/>
        <v>0</v>
      </c>
      <c r="AE62" s="250">
        <f t="shared" si="16"/>
        <v>0</v>
      </c>
      <c r="AF62" s="250">
        <f>IF(AE62&gt;0,AD62/AE62*100,IF(AD62=0,100,120))</f>
        <v>100</v>
      </c>
      <c r="AG62" s="248" t="s">
        <v>119</v>
      </c>
      <c r="AH62" s="250">
        <f>IF(AF62&lt;80,3,IF(AF62&gt;=80,IF(AF62&lt;=120,2,1)))</f>
        <v>2</v>
      </c>
      <c r="AI62" s="229"/>
      <c r="AJ62" s="250">
        <f t="shared" si="17"/>
        <v>0</v>
      </c>
      <c r="AK62" s="250">
        <f t="shared" si="17"/>
        <v>0</v>
      </c>
      <c r="AL62" s="250">
        <f>IF(AK62&gt;0,AJ62/AK62*100,IF(AJ62=0,100,120))</f>
        <v>100</v>
      </c>
      <c r="AM62" s="248" t="s">
        <v>119</v>
      </c>
      <c r="AN62" s="250">
        <f>IF(AL62&lt;80,3,IF(AL62&gt;=80,IF(AL62&lt;=120,2,1)))</f>
        <v>2</v>
      </c>
      <c r="AO62" s="229"/>
      <c r="AP62" s="229"/>
      <c r="AQ62" s="229"/>
      <c r="AR62" s="250">
        <f t="shared" si="18"/>
        <v>0</v>
      </c>
      <c r="AS62" s="250">
        <f t="shared" si="18"/>
        <v>0</v>
      </c>
      <c r="AT62" s="250">
        <f>IF(AS62&gt;0,AR62/AS62*100,IF(AR62=0,100,120))</f>
        <v>100</v>
      </c>
      <c r="AU62" s="248" t="s">
        <v>119</v>
      </c>
      <c r="AV62" s="250">
        <f>IF(AT62&lt;80,3,IF(AT62&gt;=80,IF(AT62&lt;=120,2,1)))</f>
        <v>2</v>
      </c>
      <c r="AW62" s="252"/>
      <c r="AX62" s="250">
        <f t="shared" si="19"/>
        <v>0</v>
      </c>
      <c r="AY62" s="250">
        <f t="shared" si="19"/>
        <v>0</v>
      </c>
      <c r="AZ62" s="250">
        <f>IF(AY62&gt;0,AX62/AY62*100,IF(AX62=0,100,120))</f>
        <v>100</v>
      </c>
      <c r="BA62" s="248" t="s">
        <v>119</v>
      </c>
      <c r="BB62" s="250">
        <f>IF(AZ62&lt;80,3,IF(AZ62&gt;=80,IF(AZ62&lt;=120,2,1)))</f>
        <v>2</v>
      </c>
      <c r="BC62" s="229"/>
      <c r="BD62" s="250">
        <f t="shared" si="20"/>
        <v>0</v>
      </c>
      <c r="BE62" s="250">
        <f t="shared" si="20"/>
        <v>0</v>
      </c>
      <c r="BF62" s="250">
        <f>IF(BE62&gt;0,BD62/BE62*100,IF(BD62=0,100,120))</f>
        <v>100</v>
      </c>
      <c r="BG62" s="248" t="s">
        <v>119</v>
      </c>
      <c r="BH62" s="250">
        <f>IF(BF62&lt;80,3,IF(BF62&gt;=80,IF(BF62&lt;=120,2,1)))</f>
        <v>2</v>
      </c>
      <c r="BI62" s="229"/>
      <c r="BJ62" s="250">
        <f t="shared" si="21"/>
        <v>0</v>
      </c>
      <c r="BK62" s="250">
        <f t="shared" si="21"/>
        <v>0</v>
      </c>
      <c r="BL62" s="250">
        <f>IF(BK62&gt;0,BJ62/BK62*100,IF(BJ62=0,100,120))</f>
        <v>100</v>
      </c>
      <c r="BM62" s="248" t="s">
        <v>119</v>
      </c>
      <c r="BN62" s="250">
        <f>IF(BL62&lt;80,3,IF(BL62&gt;=80,IF(BL62&lt;=120,2,1)))</f>
        <v>2</v>
      </c>
    </row>
    <row r="63" spans="7:66" ht="11.25">
      <c r="G63" s="390" t="s">
        <v>193</v>
      </c>
      <c r="H63" s="464" t="s">
        <v>266</v>
      </c>
      <c r="I63" s="190"/>
      <c r="J63" s="232"/>
      <c r="K63" s="190"/>
      <c r="L63" s="460">
        <f t="shared" si="13"/>
        <v>0</v>
      </c>
      <c r="M63" s="460">
        <f t="shared" si="13"/>
        <v>0</v>
      </c>
      <c r="N63" s="460">
        <f>IF(M63&gt;0,L63/M63*100,IF(L63=0,100,120))</f>
        <v>100</v>
      </c>
      <c r="O63" s="455" t="s">
        <v>119</v>
      </c>
      <c r="P63" s="460">
        <f>IF(N63&lt;80,3,IF(N63&gt;=80,IF(N63&lt;=120,2,1)))</f>
        <v>2</v>
      </c>
      <c r="Q63" s="252"/>
      <c r="R63" s="250">
        <f t="shared" si="14"/>
        <v>0</v>
      </c>
      <c r="S63" s="250">
        <f t="shared" si="14"/>
        <v>0</v>
      </c>
      <c r="T63" s="250">
        <f>IF(S63&gt;0,R63/S63*100,IF(R63=0,100,120))</f>
        <v>100</v>
      </c>
      <c r="U63" s="248" t="s">
        <v>119</v>
      </c>
      <c r="V63" s="250">
        <f>IF(T63&lt;80,3,IF(T63&gt;=80,IF(T63&lt;=120,2,1)))</f>
        <v>2</v>
      </c>
      <c r="W63" s="252"/>
      <c r="X63" s="250">
        <f t="shared" si="15"/>
        <v>0</v>
      </c>
      <c r="Y63" s="250">
        <f t="shared" si="15"/>
        <v>0</v>
      </c>
      <c r="Z63" s="250">
        <f>IF(Y63&gt;0,X63/Y63*100,IF(X63=0,100,120))</f>
        <v>100</v>
      </c>
      <c r="AA63" s="248" t="s">
        <v>119</v>
      </c>
      <c r="AB63" s="250">
        <f>IF(Z63&lt;80,3,IF(Z63&gt;=80,IF(Z63&lt;=120,2,1)))</f>
        <v>2</v>
      </c>
      <c r="AC63" s="229"/>
      <c r="AD63" s="250">
        <f t="shared" si="16"/>
        <v>0</v>
      </c>
      <c r="AE63" s="250">
        <f t="shared" si="16"/>
        <v>0</v>
      </c>
      <c r="AF63" s="250">
        <f>IF(AE63&gt;0,AD63/AE63*100,IF(AD63=0,100,120))</f>
        <v>100</v>
      </c>
      <c r="AG63" s="248" t="s">
        <v>119</v>
      </c>
      <c r="AH63" s="250">
        <f>IF(AF63&lt;80,3,IF(AF63&gt;=80,IF(AF63&lt;=120,2,1)))</f>
        <v>2</v>
      </c>
      <c r="AI63" s="229"/>
      <c r="AJ63" s="250">
        <f t="shared" si="17"/>
        <v>0</v>
      </c>
      <c r="AK63" s="250">
        <f t="shared" si="17"/>
        <v>0</v>
      </c>
      <c r="AL63" s="250">
        <f>IF(AK63&gt;0,AJ63/AK63*100,IF(AJ63=0,100,120))</f>
        <v>100</v>
      </c>
      <c r="AM63" s="248" t="s">
        <v>119</v>
      </c>
      <c r="AN63" s="250">
        <f>IF(AL63&lt;80,3,IF(AL63&gt;=80,IF(AL63&lt;=120,2,1)))</f>
        <v>2</v>
      </c>
      <c r="AO63" s="229"/>
      <c r="AP63" s="229"/>
      <c r="AQ63" s="229"/>
      <c r="AR63" s="250">
        <f t="shared" si="18"/>
        <v>0</v>
      </c>
      <c r="AS63" s="250">
        <f t="shared" si="18"/>
        <v>0</v>
      </c>
      <c r="AT63" s="250">
        <f>IF(AS63&gt;0,AR63/AS63*100,IF(AR63=0,100,120))</f>
        <v>100</v>
      </c>
      <c r="AU63" s="248" t="s">
        <v>119</v>
      </c>
      <c r="AV63" s="250">
        <f>IF(AT63&lt;80,3,IF(AT63&gt;=80,IF(AT63&lt;=120,2,1)))</f>
        <v>2</v>
      </c>
      <c r="AW63" s="252"/>
      <c r="AX63" s="250">
        <f t="shared" si="19"/>
        <v>0</v>
      </c>
      <c r="AY63" s="250">
        <f t="shared" si="19"/>
        <v>0</v>
      </c>
      <c r="AZ63" s="250">
        <f>IF(AY63&gt;0,AX63/AY63*100,IF(AX63=0,100,120))</f>
        <v>100</v>
      </c>
      <c r="BA63" s="248" t="s">
        <v>119</v>
      </c>
      <c r="BB63" s="250">
        <f>IF(AZ63&lt;80,3,IF(AZ63&gt;=80,IF(AZ63&lt;=120,2,1)))</f>
        <v>2</v>
      </c>
      <c r="BC63" s="229"/>
      <c r="BD63" s="250">
        <f t="shared" si="20"/>
        <v>0</v>
      </c>
      <c r="BE63" s="250">
        <f t="shared" si="20"/>
        <v>0</v>
      </c>
      <c r="BF63" s="250">
        <f>IF(BE63&gt;0,BD63/BE63*100,IF(BD63=0,100,120))</f>
        <v>100</v>
      </c>
      <c r="BG63" s="248" t="s">
        <v>119</v>
      </c>
      <c r="BH63" s="250">
        <f>IF(BF63&lt;80,3,IF(BF63&gt;=80,IF(BF63&lt;=120,2,1)))</f>
        <v>2</v>
      </c>
      <c r="BI63" s="229"/>
      <c r="BJ63" s="250">
        <f t="shared" si="21"/>
        <v>0</v>
      </c>
      <c r="BK63" s="250">
        <f t="shared" si="21"/>
        <v>0</v>
      </c>
      <c r="BL63" s="250">
        <f>IF(BK63&gt;0,BJ63/BK63*100,IF(BJ63=0,100,120))</f>
        <v>100</v>
      </c>
      <c r="BM63" s="248" t="s">
        <v>119</v>
      </c>
      <c r="BN63" s="250">
        <f>IF(BL63&lt;80,3,IF(BL63&gt;=80,IF(BL63&lt;=120,2,1)))</f>
        <v>2</v>
      </c>
    </row>
    <row r="64" spans="7:66" ht="11.25">
      <c r="G64" s="390" t="s">
        <v>124</v>
      </c>
      <c r="H64" s="448" t="s">
        <v>173</v>
      </c>
      <c r="I64" s="187"/>
      <c r="J64" s="232"/>
      <c r="K64" s="187"/>
      <c r="L64" s="460">
        <f>L65</f>
        <v>0</v>
      </c>
      <c r="M64" s="460">
        <f>M65</f>
        <v>0</v>
      </c>
      <c r="N64" s="460">
        <f>N65</f>
        <v>100</v>
      </c>
      <c r="O64" s="455" t="s">
        <v>118</v>
      </c>
      <c r="P64" s="460">
        <f>P65</f>
        <v>2</v>
      </c>
      <c r="Q64" s="252"/>
      <c r="R64" s="250">
        <f>R65</f>
        <v>0</v>
      </c>
      <c r="S64" s="250">
        <f>S65</f>
        <v>0</v>
      </c>
      <c r="T64" s="250">
        <f>T65</f>
        <v>100</v>
      </c>
      <c r="U64" s="248" t="s">
        <v>118</v>
      </c>
      <c r="V64" s="250">
        <f>V65</f>
        <v>2</v>
      </c>
      <c r="W64" s="252"/>
      <c r="X64" s="250">
        <f>X65</f>
        <v>0</v>
      </c>
      <c r="Y64" s="250">
        <f>Y65</f>
        <v>0</v>
      </c>
      <c r="Z64" s="250">
        <f>Z65</f>
        <v>100</v>
      </c>
      <c r="AA64" s="248" t="s">
        <v>118</v>
      </c>
      <c r="AB64" s="250">
        <f>AB65</f>
        <v>2</v>
      </c>
      <c r="AC64" s="229"/>
      <c r="AD64" s="250">
        <f>AD65</f>
        <v>0</v>
      </c>
      <c r="AE64" s="250">
        <f>AE65</f>
        <v>0</v>
      </c>
      <c r="AF64" s="250">
        <f>AF65</f>
        <v>100</v>
      </c>
      <c r="AG64" s="248" t="s">
        <v>118</v>
      </c>
      <c r="AH64" s="250">
        <f>AH65</f>
        <v>2</v>
      </c>
      <c r="AI64" s="229"/>
      <c r="AJ64" s="250">
        <f>AJ65</f>
        <v>0</v>
      </c>
      <c r="AK64" s="250">
        <f>AK65</f>
        <v>0</v>
      </c>
      <c r="AL64" s="250">
        <f>AL65</f>
        <v>100</v>
      </c>
      <c r="AM64" s="248" t="s">
        <v>118</v>
      </c>
      <c r="AN64" s="250">
        <f>AN65</f>
        <v>2</v>
      </c>
      <c r="AO64" s="229"/>
      <c r="AP64" s="229"/>
      <c r="AQ64" s="229"/>
      <c r="AR64" s="250">
        <f>AR65</f>
        <v>0</v>
      </c>
      <c r="AS64" s="250">
        <f>AS65</f>
        <v>0</v>
      </c>
      <c r="AT64" s="250">
        <f>AT65</f>
        <v>100</v>
      </c>
      <c r="AU64" s="248" t="s">
        <v>118</v>
      </c>
      <c r="AV64" s="250">
        <f>AV65</f>
        <v>2</v>
      </c>
      <c r="AW64" s="252"/>
      <c r="AX64" s="250">
        <f>AX65</f>
        <v>0</v>
      </c>
      <c r="AY64" s="250">
        <f>AY65</f>
        <v>0</v>
      </c>
      <c r="AZ64" s="250">
        <f>AZ65</f>
        <v>100</v>
      </c>
      <c r="BA64" s="248" t="s">
        <v>118</v>
      </c>
      <c r="BB64" s="250">
        <f>BB65</f>
        <v>2</v>
      </c>
      <c r="BC64" s="229"/>
      <c r="BD64" s="250">
        <f>BD65</f>
        <v>0</v>
      </c>
      <c r="BE64" s="250">
        <f>BE65</f>
        <v>0</v>
      </c>
      <c r="BF64" s="250">
        <f>BF65</f>
        <v>100</v>
      </c>
      <c r="BG64" s="248" t="s">
        <v>118</v>
      </c>
      <c r="BH64" s="250">
        <f>BH65</f>
        <v>2</v>
      </c>
      <c r="BI64" s="229"/>
      <c r="BJ64" s="250">
        <f>BJ65</f>
        <v>0</v>
      </c>
      <c r="BK64" s="250">
        <f>BK65</f>
        <v>0</v>
      </c>
      <c r="BL64" s="250">
        <f>BL65</f>
        <v>100</v>
      </c>
      <c r="BM64" s="248" t="s">
        <v>118</v>
      </c>
      <c r="BN64" s="250">
        <f>BN65</f>
        <v>2</v>
      </c>
    </row>
    <row r="65" spans="7:66" ht="22.5">
      <c r="G65" s="390" t="s">
        <v>135</v>
      </c>
      <c r="H65" s="463" t="s">
        <v>175</v>
      </c>
      <c r="I65" s="189"/>
      <c r="J65" s="232"/>
      <c r="K65" s="189"/>
      <c r="L65" s="460">
        <f>L32+L35</f>
        <v>0</v>
      </c>
      <c r="M65" s="460">
        <f>M32+M35</f>
        <v>0</v>
      </c>
      <c r="N65" s="460">
        <f>IF(M65&gt;0,L65/M65*100,IF(L65=0,100,120))</f>
        <v>100</v>
      </c>
      <c r="O65" s="455" t="s">
        <v>118</v>
      </c>
      <c r="P65" s="460">
        <f>IF(N65&lt;80,1,IF(N65&gt;=80,IF(N65&lt;=120,2,3)))</f>
        <v>2</v>
      </c>
      <c r="Q65" s="252"/>
      <c r="R65" s="250">
        <f>R32+R35</f>
        <v>0</v>
      </c>
      <c r="S65" s="250">
        <f>S32+S35</f>
        <v>0</v>
      </c>
      <c r="T65" s="250">
        <f>IF(S65&gt;0,R65/S65*100,IF(R65=0,100,120))</f>
        <v>100</v>
      </c>
      <c r="U65" s="248" t="s">
        <v>118</v>
      </c>
      <c r="V65" s="250">
        <f>IF(T65&lt;80,1,IF(T65&gt;=80,IF(T65&lt;=120,2,3)))</f>
        <v>2</v>
      </c>
      <c r="W65" s="252"/>
      <c r="X65" s="250">
        <f>X32+X35</f>
        <v>0</v>
      </c>
      <c r="Y65" s="250">
        <f>Y32+Y35</f>
        <v>0</v>
      </c>
      <c r="Z65" s="250">
        <f>IF(Y65&gt;0,X65/Y65*100,IF(X65=0,100,120))</f>
        <v>100</v>
      </c>
      <c r="AA65" s="248" t="s">
        <v>118</v>
      </c>
      <c r="AB65" s="250">
        <f>IF(Z65&lt;80,1,IF(Z65&gt;=80,IF(Z65&lt;=120,2,3)))</f>
        <v>2</v>
      </c>
      <c r="AC65" s="229"/>
      <c r="AD65" s="250">
        <f>AD32+AD35</f>
        <v>0</v>
      </c>
      <c r="AE65" s="250">
        <f>AE32+AE35</f>
        <v>0</v>
      </c>
      <c r="AF65" s="250">
        <f>IF(AE65&gt;0,AD65/AE65*100,IF(AD65=0,100,120))</f>
        <v>100</v>
      </c>
      <c r="AG65" s="248" t="s">
        <v>118</v>
      </c>
      <c r="AH65" s="250">
        <f>IF(AF65&lt;80,1,IF(AF65&gt;=80,IF(AF65&lt;=120,2,3)))</f>
        <v>2</v>
      </c>
      <c r="AI65" s="229"/>
      <c r="AJ65" s="250">
        <f>AJ32+AJ35</f>
        <v>0</v>
      </c>
      <c r="AK65" s="250">
        <f>AK32+AK35</f>
        <v>0</v>
      </c>
      <c r="AL65" s="250">
        <f>IF(AK65&gt;0,AJ65/AK65*100,IF(AJ65=0,100,120))</f>
        <v>100</v>
      </c>
      <c r="AM65" s="248" t="s">
        <v>118</v>
      </c>
      <c r="AN65" s="250">
        <f>IF(AL65&lt;80,1,IF(AL65&gt;=80,IF(AL65&lt;=120,2,3)))</f>
        <v>2</v>
      </c>
      <c r="AO65" s="229"/>
      <c r="AP65" s="229"/>
      <c r="AQ65" s="229"/>
      <c r="AR65" s="250">
        <f>AR32+AR35</f>
        <v>0</v>
      </c>
      <c r="AS65" s="250">
        <f>AS32+AS35</f>
        <v>0</v>
      </c>
      <c r="AT65" s="250">
        <f>IF(AS65&gt;0,AR65/AS65*100,IF(AR65=0,100,120))</f>
        <v>100</v>
      </c>
      <c r="AU65" s="248" t="s">
        <v>118</v>
      </c>
      <c r="AV65" s="250">
        <f>IF(AT65&lt;80,1,IF(AT65&gt;=80,IF(AT65&lt;=120,2,3)))</f>
        <v>2</v>
      </c>
      <c r="AW65" s="252"/>
      <c r="AX65" s="250">
        <f>AX32+AX35</f>
        <v>0</v>
      </c>
      <c r="AY65" s="250">
        <f>AY32+AY35</f>
        <v>0</v>
      </c>
      <c r="AZ65" s="250">
        <f>IF(AY65&gt;0,AX65/AY65*100,IF(AX65=0,100,120))</f>
        <v>100</v>
      </c>
      <c r="BA65" s="248" t="s">
        <v>118</v>
      </c>
      <c r="BB65" s="250">
        <f>IF(AZ65&lt;80,1,IF(AZ65&gt;=80,IF(AZ65&lt;=120,2,3)))</f>
        <v>2</v>
      </c>
      <c r="BC65" s="229"/>
      <c r="BD65" s="250">
        <f>BD32+BD35</f>
        <v>0</v>
      </c>
      <c r="BE65" s="250">
        <f>BE32+BE35</f>
        <v>0</v>
      </c>
      <c r="BF65" s="250">
        <f>IF(BE65&gt;0,BD65/BE65*100,IF(BD65=0,100,120))</f>
        <v>100</v>
      </c>
      <c r="BG65" s="248" t="s">
        <v>118</v>
      </c>
      <c r="BH65" s="250">
        <f>IF(BF65&lt;80,1,IF(BF65&gt;=80,IF(BF65&lt;=120,2,3)))</f>
        <v>2</v>
      </c>
      <c r="BI65" s="229"/>
      <c r="BJ65" s="250">
        <f>BJ32+BJ35</f>
        <v>0</v>
      </c>
      <c r="BK65" s="250">
        <f>BK32+BK35</f>
        <v>0</v>
      </c>
      <c r="BL65" s="250">
        <f>IF(BK65&gt;0,BJ65/BK65*100,IF(BJ65=0,100,120))</f>
        <v>100</v>
      </c>
      <c r="BM65" s="248" t="s">
        <v>118</v>
      </c>
      <c r="BN65" s="250">
        <f>IF(BL65&lt;80,1,IF(BL65&gt;=80,IF(BL65&lt;=120,2,3)))</f>
        <v>2</v>
      </c>
    </row>
    <row r="66" spans="7:66" ht="33.75">
      <c r="G66" s="390" t="s">
        <v>123</v>
      </c>
      <c r="H66" s="445" t="s">
        <v>233</v>
      </c>
      <c r="I66" s="184"/>
      <c r="J66" s="232"/>
      <c r="K66" s="184"/>
      <c r="L66" s="455"/>
      <c r="M66" s="455"/>
      <c r="N66" s="455"/>
      <c r="O66" s="455"/>
      <c r="P66" s="460">
        <f>(P68+P69)/2</f>
        <v>2</v>
      </c>
      <c r="Q66" s="252"/>
      <c r="R66" s="248"/>
      <c r="S66" s="248"/>
      <c r="T66" s="248"/>
      <c r="U66" s="248"/>
      <c r="V66" s="250">
        <f>(V68+V69)/2</f>
        <v>2</v>
      </c>
      <c r="W66" s="252"/>
      <c r="X66" s="248"/>
      <c r="Y66" s="248"/>
      <c r="Z66" s="248"/>
      <c r="AA66" s="248"/>
      <c r="AB66" s="250">
        <f>(AB68+AB69)/2</f>
        <v>2</v>
      </c>
      <c r="AC66" s="229"/>
      <c r="AD66" s="248"/>
      <c r="AE66" s="248"/>
      <c r="AF66" s="248"/>
      <c r="AG66" s="248"/>
      <c r="AH66" s="250">
        <f>(AH68+AH69)/2</f>
        <v>2</v>
      </c>
      <c r="AI66" s="229"/>
      <c r="AJ66" s="248"/>
      <c r="AK66" s="248"/>
      <c r="AL66" s="248"/>
      <c r="AM66" s="248"/>
      <c r="AN66" s="250">
        <f>(AN68+AN69)/2</f>
        <v>2</v>
      </c>
      <c r="AO66" s="229"/>
      <c r="AP66" s="229"/>
      <c r="AQ66" s="229"/>
      <c r="AR66" s="248"/>
      <c r="AS66" s="248"/>
      <c r="AT66" s="248"/>
      <c r="AU66" s="248"/>
      <c r="AV66" s="250">
        <f>(AV68+AV69)/2</f>
        <v>2</v>
      </c>
      <c r="AW66" s="252"/>
      <c r="AX66" s="248"/>
      <c r="AY66" s="248"/>
      <c r="AZ66" s="248"/>
      <c r="BA66" s="248"/>
      <c r="BB66" s="250">
        <f>(BB68+BB69)/2</f>
        <v>2</v>
      </c>
      <c r="BC66" s="229"/>
      <c r="BD66" s="248"/>
      <c r="BE66" s="248"/>
      <c r="BF66" s="248"/>
      <c r="BG66" s="248"/>
      <c r="BH66" s="250">
        <f>(BH68+BH69)/2</f>
        <v>2</v>
      </c>
      <c r="BI66" s="229"/>
      <c r="BJ66" s="248"/>
      <c r="BK66" s="248"/>
      <c r="BL66" s="248"/>
      <c r="BM66" s="248"/>
      <c r="BN66" s="250">
        <f>(BN68+BN69)/2</f>
        <v>2</v>
      </c>
    </row>
    <row r="67" spans="7:66" ht="11.25">
      <c r="G67" s="390"/>
      <c r="H67" s="445" t="s">
        <v>219</v>
      </c>
      <c r="I67" s="184"/>
      <c r="J67" s="232"/>
      <c r="K67" s="184"/>
      <c r="L67" s="461"/>
      <c r="M67" s="461"/>
      <c r="N67" s="461"/>
      <c r="O67" s="455"/>
      <c r="P67" s="461"/>
      <c r="Q67" s="259"/>
      <c r="R67" s="251"/>
      <c r="S67" s="251"/>
      <c r="T67" s="251"/>
      <c r="U67" s="248"/>
      <c r="V67" s="251"/>
      <c r="W67" s="259"/>
      <c r="X67" s="251"/>
      <c r="Y67" s="251"/>
      <c r="Z67" s="251"/>
      <c r="AA67" s="248"/>
      <c r="AB67" s="251"/>
      <c r="AC67" s="229"/>
      <c r="AD67" s="251"/>
      <c r="AE67" s="251"/>
      <c r="AF67" s="251"/>
      <c r="AG67" s="248"/>
      <c r="AH67" s="251"/>
      <c r="AI67" s="229"/>
      <c r="AJ67" s="251"/>
      <c r="AK67" s="251"/>
      <c r="AL67" s="251"/>
      <c r="AM67" s="248"/>
      <c r="AN67" s="251"/>
      <c r="AO67" s="229"/>
      <c r="AP67" s="229"/>
      <c r="AQ67" s="229"/>
      <c r="AR67" s="251"/>
      <c r="AS67" s="251"/>
      <c r="AT67" s="251"/>
      <c r="AU67" s="248"/>
      <c r="AV67" s="251"/>
      <c r="AW67" s="259"/>
      <c r="AX67" s="251"/>
      <c r="AY67" s="251"/>
      <c r="AZ67" s="251"/>
      <c r="BA67" s="248"/>
      <c r="BB67" s="251"/>
      <c r="BC67" s="229"/>
      <c r="BD67" s="251"/>
      <c r="BE67" s="251"/>
      <c r="BF67" s="251"/>
      <c r="BG67" s="248"/>
      <c r="BH67" s="251"/>
      <c r="BI67" s="229"/>
      <c r="BJ67" s="251"/>
      <c r="BK67" s="251"/>
      <c r="BL67" s="251"/>
      <c r="BM67" s="248"/>
      <c r="BN67" s="251"/>
    </row>
    <row r="68" spans="7:66" ht="22.5">
      <c r="G68" s="390" t="s">
        <v>134</v>
      </c>
      <c r="H68" s="463" t="s">
        <v>177</v>
      </c>
      <c r="I68" s="189"/>
      <c r="J68" s="232"/>
      <c r="K68" s="189"/>
      <c r="L68" s="460">
        <f>L37</f>
        <v>1</v>
      </c>
      <c r="M68" s="460">
        <f>M37</f>
        <v>1</v>
      </c>
      <c r="N68" s="460">
        <f>IF(M68&gt;0,L68/M68*100,IF(L68=0,100,120))</f>
        <v>100</v>
      </c>
      <c r="O68" s="455" t="s">
        <v>118</v>
      </c>
      <c r="P68" s="460">
        <f>IF(N68&lt;80,1,IF(N68&gt;=80,IF(N68&lt;=120,2,3)))</f>
        <v>2</v>
      </c>
      <c r="Q68" s="252"/>
      <c r="R68" s="250">
        <f>R37</f>
        <v>0.985</v>
      </c>
      <c r="S68" s="250">
        <f>S37</f>
        <v>0.985</v>
      </c>
      <c r="T68" s="250">
        <f>IF(S68&gt;0,R68/S68*100,IF(R68=0,100,120))</f>
        <v>100</v>
      </c>
      <c r="U68" s="248" t="s">
        <v>118</v>
      </c>
      <c r="V68" s="250">
        <f>IF(T68&lt;80,1,IF(T68&gt;=80,IF(T68&lt;=120,2,3)))</f>
        <v>2</v>
      </c>
      <c r="W68" s="252"/>
      <c r="X68" s="248">
        <f>X37</f>
        <v>0.9997749999999999</v>
      </c>
      <c r="Y68" s="248">
        <f>Y37</f>
        <v>0.9997749999999999</v>
      </c>
      <c r="Z68" s="250">
        <f>IF(Y68&gt;0,X68/Y68*100,IF(X68=0,100,120))</f>
        <v>100</v>
      </c>
      <c r="AA68" s="248" t="s">
        <v>118</v>
      </c>
      <c r="AB68" s="250">
        <f>IF(Z68&lt;80,1,IF(Z68&gt;=80,IF(Z68&lt;=120,2,3)))</f>
        <v>2</v>
      </c>
      <c r="AC68" s="229"/>
      <c r="AD68" s="250">
        <f>AD37</f>
        <v>1.0147716249999998</v>
      </c>
      <c r="AE68" s="250">
        <f>AE37</f>
        <v>1.0147716249999998</v>
      </c>
      <c r="AF68" s="250">
        <f>IF(AE68&gt;0,AD68/AE68*100,IF(AD68=0,100,120))</f>
        <v>100</v>
      </c>
      <c r="AG68" s="248" t="s">
        <v>118</v>
      </c>
      <c r="AH68" s="250">
        <f>IF(AF68&lt;80,1,IF(AF68&gt;=80,IF(AF68&lt;=120,2,3)))</f>
        <v>2</v>
      </c>
      <c r="AI68" s="229"/>
      <c r="AJ68" s="250">
        <f>AJ37</f>
        <v>1.0299931993749998</v>
      </c>
      <c r="AK68" s="250">
        <f>AK37</f>
        <v>1.0299931993749998</v>
      </c>
      <c r="AL68" s="250">
        <f>IF(AK68&gt;0,AJ68/AK68*100,IF(AJ68=0,100,120))</f>
        <v>100</v>
      </c>
      <c r="AM68" s="248" t="s">
        <v>118</v>
      </c>
      <c r="AN68" s="250">
        <f>IF(AL68&lt;80,1,IF(AL68&gt;=80,IF(AL68&lt;=120,2,3)))</f>
        <v>2</v>
      </c>
      <c r="AO68" s="229"/>
      <c r="AP68" s="229"/>
      <c r="AQ68" s="229"/>
      <c r="AR68" s="250">
        <f>AR37</f>
        <v>0</v>
      </c>
      <c r="AS68" s="250">
        <f>AS37</f>
        <v>0</v>
      </c>
      <c r="AT68" s="250">
        <f>IF(AS68&gt;0,AR68/AS68*100,IF(AR68=0,100,120))</f>
        <v>100</v>
      </c>
      <c r="AU68" s="248" t="s">
        <v>118</v>
      </c>
      <c r="AV68" s="250">
        <f>IF(AT68&lt;80,1,IF(AT68&gt;=80,IF(AT68&lt;=120,2,3)))</f>
        <v>2</v>
      </c>
      <c r="AW68" s="252"/>
      <c r="AX68" s="250">
        <f>AX37</f>
        <v>0</v>
      </c>
      <c r="AY68" s="250">
        <f>AY37</f>
        <v>0</v>
      </c>
      <c r="AZ68" s="250">
        <f>IF(AY68&gt;0,AX68/AY68*100,IF(AX68=0,100,120))</f>
        <v>100</v>
      </c>
      <c r="BA68" s="248" t="s">
        <v>118</v>
      </c>
      <c r="BB68" s="250">
        <f>IF(AZ68&lt;80,1,IF(AZ68&gt;=80,IF(AZ68&lt;=120,2,3)))</f>
        <v>2</v>
      </c>
      <c r="BC68" s="229"/>
      <c r="BD68" s="250">
        <f>BD37</f>
        <v>0</v>
      </c>
      <c r="BE68" s="250">
        <f>BE37</f>
        <v>0</v>
      </c>
      <c r="BF68" s="250">
        <f>IF(BE68&gt;0,BD68/BE68*100,IF(BD68=0,100,120))</f>
        <v>100</v>
      </c>
      <c r="BG68" s="248" t="s">
        <v>118</v>
      </c>
      <c r="BH68" s="250">
        <f>IF(BF68&lt;80,1,IF(BF68&gt;=80,IF(BF68&lt;=120,2,3)))</f>
        <v>2</v>
      </c>
      <c r="BI68" s="229"/>
      <c r="BJ68" s="250">
        <f>BJ37</f>
        <v>0</v>
      </c>
      <c r="BK68" s="250">
        <f>BK37</f>
        <v>0</v>
      </c>
      <c r="BL68" s="250">
        <f>IF(BK68&gt;0,BJ68/BK68*100,IF(BJ68=0,100,120))</f>
        <v>100</v>
      </c>
      <c r="BM68" s="248" t="s">
        <v>118</v>
      </c>
      <c r="BN68" s="250">
        <f>IF(BL68&lt;80,1,IF(BL68&gt;=80,IF(BL68&lt;=120,2,3)))</f>
        <v>2</v>
      </c>
    </row>
    <row r="69" spans="7:66" ht="45">
      <c r="G69" s="390" t="s">
        <v>133</v>
      </c>
      <c r="H69" s="463" t="s">
        <v>174</v>
      </c>
      <c r="I69" s="189"/>
      <c r="J69" s="232"/>
      <c r="K69" s="189"/>
      <c r="L69" s="460">
        <f>IF(L39=0,0,L38/L39*100)</f>
        <v>300</v>
      </c>
      <c r="M69" s="460">
        <f>IF(M39=0,0,M38/M39*100)</f>
        <v>0</v>
      </c>
      <c r="N69" s="460">
        <f>IF(M69&gt;0,L69/M69*100,IF(L69=0,100,120))</f>
        <v>120</v>
      </c>
      <c r="O69" s="455" t="s">
        <v>119</v>
      </c>
      <c r="P69" s="460">
        <f>IF(N69&lt;80,3,IF(N69&gt;=80,IF(N69&lt;=120,2,1)))</f>
        <v>2</v>
      </c>
      <c r="Q69" s="252"/>
      <c r="R69" s="250">
        <f>IF(R39=0,0,R38/R39*100)</f>
        <v>0</v>
      </c>
      <c r="S69" s="250">
        <f>IF(S39=0,0,S38/S39*100)</f>
        <v>0</v>
      </c>
      <c r="T69" s="250">
        <f>IF(S69&gt;0,R69/S69*100,IF(R69=0,100,120))</f>
        <v>100</v>
      </c>
      <c r="U69" s="248" t="s">
        <v>119</v>
      </c>
      <c r="V69" s="250">
        <f>IF(T69&lt;80,3,IF(T69&gt;=80,IF(T69&lt;=120,2,1)))</f>
        <v>2</v>
      </c>
      <c r="W69" s="252"/>
      <c r="X69" s="248">
        <f>IF(X39=0,0,X38/X39*100)</f>
        <v>0</v>
      </c>
      <c r="Y69" s="248">
        <f>IF(Y39=0,0,Y38/Y39*100)</f>
        <v>0</v>
      </c>
      <c r="Z69" s="250">
        <f>IF(Y69&gt;0,X69/Y69*100,IF(X69=0,100,120))</f>
        <v>100</v>
      </c>
      <c r="AA69" s="248" t="s">
        <v>119</v>
      </c>
      <c r="AB69" s="250">
        <f>IF(Z69&lt;80,3,IF(Z69&gt;=80,IF(Z69&lt;=120,2,1)))</f>
        <v>2</v>
      </c>
      <c r="AC69" s="229"/>
      <c r="AD69" s="250">
        <f>IF(AD39=0,0,AD38/AD39*100)</f>
        <v>0</v>
      </c>
      <c r="AE69" s="250">
        <f>IF(AE39=0,0,AE38/AE39*100)</f>
        <v>0</v>
      </c>
      <c r="AF69" s="250">
        <f>IF(AE69&gt;0,AD69/AE69*100,IF(AD69=0,100,120))</f>
        <v>100</v>
      </c>
      <c r="AG69" s="248" t="s">
        <v>119</v>
      </c>
      <c r="AH69" s="250">
        <f>IF(AF69&lt;80,3,IF(AF69&gt;=80,IF(AF69&lt;=120,2,1)))</f>
        <v>2</v>
      </c>
      <c r="AI69" s="229"/>
      <c r="AJ69" s="250">
        <f>IF(AJ39=0,0,AJ38/AJ39*100)</f>
        <v>0</v>
      </c>
      <c r="AK69" s="250">
        <f>IF(AK39=0,0,AK38/AK39*100)</f>
        <v>0</v>
      </c>
      <c r="AL69" s="250">
        <f>IF(AK69&gt;0,AJ69/AK69*100,IF(AJ69=0,100,120))</f>
        <v>100</v>
      </c>
      <c r="AM69" s="248" t="s">
        <v>119</v>
      </c>
      <c r="AN69" s="250">
        <f>IF(AL69&lt;80,3,IF(AL69&gt;=80,IF(AL69&lt;=120,2,1)))</f>
        <v>2</v>
      </c>
      <c r="AO69" s="229"/>
      <c r="AP69" s="229"/>
      <c r="AQ69" s="229"/>
      <c r="AR69" s="250">
        <f>IF(AR39=0,0,AR38/AR39*100)</f>
        <v>0</v>
      </c>
      <c r="AS69" s="250">
        <f>IF(AS39=0,0,AS38/AS39*100)</f>
        <v>0</v>
      </c>
      <c r="AT69" s="250">
        <f>IF(AS69&gt;0,AR69/AS69*100,IF(AR69=0,100,120))</f>
        <v>100</v>
      </c>
      <c r="AU69" s="248" t="s">
        <v>119</v>
      </c>
      <c r="AV69" s="250">
        <f>IF(AT69&lt;80,3,IF(AT69&gt;=80,IF(AT69&lt;=120,2,1)))</f>
        <v>2</v>
      </c>
      <c r="AW69" s="252"/>
      <c r="AX69" s="250">
        <f>IF(AX39=0,0,AX38/AX39*100)</f>
        <v>0</v>
      </c>
      <c r="AY69" s="250">
        <f>IF(AY39=0,0,AY38/AY39*100)</f>
        <v>0</v>
      </c>
      <c r="AZ69" s="250">
        <f>IF(AY69&gt;0,AX69/AY69*100,IF(AX69=0,100,120))</f>
        <v>100</v>
      </c>
      <c r="BA69" s="248" t="s">
        <v>119</v>
      </c>
      <c r="BB69" s="250">
        <f>IF(AZ69&lt;80,3,IF(AZ69&gt;=80,IF(AZ69&lt;=120,2,1)))</f>
        <v>2</v>
      </c>
      <c r="BC69" s="229"/>
      <c r="BD69" s="250">
        <f>IF(BD39=0,0,BD38/BD39*100)</f>
        <v>0</v>
      </c>
      <c r="BE69" s="250">
        <f>IF(BE39=0,0,BE38/BE39*100)</f>
        <v>0</v>
      </c>
      <c r="BF69" s="250">
        <f>IF(BE69&gt;0,BD69/BE69*100,IF(BD69=0,100,120))</f>
        <v>100</v>
      </c>
      <c r="BG69" s="248" t="s">
        <v>119</v>
      </c>
      <c r="BH69" s="250">
        <f>IF(BF69&lt;80,3,IF(BF69&gt;=80,IF(BF69&lt;=120,2,1)))</f>
        <v>2</v>
      </c>
      <c r="BI69" s="229"/>
      <c r="BJ69" s="250">
        <f>IF(BJ39=0,0,BJ38/BJ39*100)</f>
        <v>0</v>
      </c>
      <c r="BK69" s="250">
        <f>IF(BK39=0,0,BK38/BK39*100)</f>
        <v>0</v>
      </c>
      <c r="BL69" s="250">
        <f>IF(BK69&gt;0,BJ69/BK69*100,IF(BJ69=0,100,120))</f>
        <v>100</v>
      </c>
      <c r="BM69" s="248" t="s">
        <v>119</v>
      </c>
      <c r="BN69" s="250">
        <f>IF(BL69&lt;80,3,IF(BL69&gt;=80,IF(BL69&lt;=120,2,1)))</f>
        <v>2</v>
      </c>
    </row>
    <row r="70" spans="7:66" ht="11.25">
      <c r="G70" s="390" t="s">
        <v>122</v>
      </c>
      <c r="H70" s="445" t="s">
        <v>234</v>
      </c>
      <c r="I70" s="184"/>
      <c r="J70" s="232"/>
      <c r="K70" s="184"/>
      <c r="L70" s="455"/>
      <c r="M70" s="455"/>
      <c r="N70" s="455"/>
      <c r="O70" s="455"/>
      <c r="P70" s="462">
        <f>(P48+P49+P57+P64+P66)/5</f>
        <v>1.9</v>
      </c>
      <c r="Q70" s="257"/>
      <c r="R70" s="248"/>
      <c r="S70" s="248"/>
      <c r="T70" s="248"/>
      <c r="U70" s="248"/>
      <c r="V70" s="256">
        <f>(V48+V49+V57+V64+V66)/5</f>
        <v>2</v>
      </c>
      <c r="W70" s="257"/>
      <c r="X70" s="248"/>
      <c r="Y70" s="248"/>
      <c r="Z70" s="248"/>
      <c r="AA70" s="248"/>
      <c r="AB70" s="256">
        <f>(AB48+AB49+AB57+AB64+AB66)/5</f>
        <v>2</v>
      </c>
      <c r="AC70" s="229"/>
      <c r="AD70" s="248"/>
      <c r="AE70" s="248"/>
      <c r="AF70" s="248"/>
      <c r="AG70" s="248"/>
      <c r="AH70" s="256">
        <f>(AH48+AH49+AH57+AH64+AH66)/5</f>
        <v>2</v>
      </c>
      <c r="AI70" s="229"/>
      <c r="AJ70" s="248"/>
      <c r="AK70" s="248"/>
      <c r="AL70" s="248"/>
      <c r="AM70" s="248"/>
      <c r="AN70" s="256">
        <f>(AN48+AN49+AN57+AN64+AN66)/5</f>
        <v>2</v>
      </c>
      <c r="AO70" s="229"/>
      <c r="AP70" s="229"/>
      <c r="AQ70" s="229"/>
      <c r="AR70" s="248"/>
      <c r="AS70" s="248"/>
      <c r="AT70" s="248"/>
      <c r="AU70" s="248"/>
      <c r="AV70" s="256">
        <f>(AV48+AV49+AV57+AV64+AV66)/5</f>
        <v>2</v>
      </c>
      <c r="AW70" s="257"/>
      <c r="AX70" s="248"/>
      <c r="AY70" s="248"/>
      <c r="AZ70" s="248"/>
      <c r="BA70" s="248"/>
      <c r="BB70" s="256">
        <f>(BB48+BB49+BB57+BB64+BB66)/5</f>
        <v>2</v>
      </c>
      <c r="BC70" s="229"/>
      <c r="BD70" s="248"/>
      <c r="BE70" s="248"/>
      <c r="BF70" s="248"/>
      <c r="BG70" s="248"/>
      <c r="BH70" s="256">
        <f>(BH48+BH49+BH57+BH64+BH66)/5</f>
        <v>2</v>
      </c>
      <c r="BI70" s="229"/>
      <c r="BJ70" s="248"/>
      <c r="BK70" s="248"/>
      <c r="BL70" s="248"/>
      <c r="BM70" s="248"/>
      <c r="BN70" s="256">
        <f>(BN48+BN49+BN57+BN64+BN66)/5</f>
        <v>2</v>
      </c>
    </row>
    <row r="71" spans="7:18" ht="11.25">
      <c r="G71" s="82"/>
      <c r="H71" s="83"/>
      <c r="I71" s="181"/>
      <c r="J71" s="181"/>
      <c r="K71" s="181"/>
      <c r="L71" s="83"/>
      <c r="M71" s="83"/>
      <c r="N71" s="83"/>
      <c r="O71" s="83"/>
      <c r="P71" s="83"/>
      <c r="Q71" s="83"/>
      <c r="R71" s="181"/>
    </row>
    <row r="72" spans="7:18" ht="11.25">
      <c r="G72" s="82"/>
      <c r="H72" s="660" t="s">
        <v>231</v>
      </c>
      <c r="I72" s="660"/>
      <c r="J72" s="660"/>
      <c r="K72" s="660"/>
      <c r="L72" s="660"/>
      <c r="M72" s="660"/>
      <c r="N72" s="660"/>
      <c r="O72" s="660"/>
      <c r="P72" s="660"/>
      <c r="Q72" s="83"/>
      <c r="R72" s="181"/>
    </row>
    <row r="73" spans="7:14" ht="11.25">
      <c r="G73" s="88"/>
      <c r="N73" s="49"/>
    </row>
    <row r="74" spans="7:37" s="379" customFormat="1" ht="11.25">
      <c r="G74" s="377"/>
      <c r="H74" s="377" t="s">
        <v>92</v>
      </c>
      <c r="I74" s="377"/>
      <c r="J74" s="377"/>
      <c r="K74" s="377"/>
      <c r="L74" s="378"/>
      <c r="M74" s="378"/>
      <c r="R74" s="380"/>
      <c r="S74" s="380"/>
      <c r="X74" s="380"/>
      <c r="Y74" s="380"/>
      <c r="AD74" s="380"/>
      <c r="AE74" s="380"/>
      <c r="AJ74" s="380"/>
      <c r="AK74" s="380"/>
    </row>
    <row r="75" spans="7:37" s="379" customFormat="1" ht="11.25">
      <c r="G75" s="377"/>
      <c r="H75" s="381"/>
      <c r="I75" s="377"/>
      <c r="J75" s="377"/>
      <c r="K75" s="377"/>
      <c r="R75" s="380"/>
      <c r="S75" s="380"/>
      <c r="X75" s="380"/>
      <c r="Y75" s="380"/>
      <c r="AD75" s="380"/>
      <c r="AE75" s="380"/>
      <c r="AJ75" s="380"/>
      <c r="AK75" s="380"/>
    </row>
    <row r="76" spans="7:37" s="379" customFormat="1" ht="11.25" customHeight="1">
      <c r="G76" s="384"/>
      <c r="H76" s="384"/>
      <c r="I76" s="377"/>
      <c r="J76" s="377"/>
      <c r="K76" s="377"/>
      <c r="L76" s="385"/>
      <c r="M76" s="385"/>
      <c r="N76" s="385"/>
      <c r="O76" s="385"/>
      <c r="P76" s="173" t="str">
        <f>IF(fioRUK="","Руководитель не задан",fioRUK)</f>
        <v>Муравин Алексей Анатольевич</v>
      </c>
      <c r="Q76" s="173"/>
      <c r="R76" s="380"/>
      <c r="S76" s="380"/>
      <c r="X76" s="380"/>
      <c r="Y76" s="380"/>
      <c r="AD76" s="380"/>
      <c r="AE76" s="380"/>
      <c r="AJ76" s="380"/>
      <c r="AK76" s="380"/>
    </row>
    <row r="77" spans="7:37" s="379" customFormat="1" ht="11.25" customHeight="1">
      <c r="G77" s="579" t="s">
        <v>93</v>
      </c>
      <c r="H77" s="579"/>
      <c r="I77" s="417"/>
      <c r="J77" s="417"/>
      <c r="K77" s="417"/>
      <c r="L77" s="579" t="s">
        <v>94</v>
      </c>
      <c r="M77" s="579"/>
      <c r="N77" s="579"/>
      <c r="O77" s="579"/>
      <c r="P77" s="579"/>
      <c r="Q77" s="60"/>
      <c r="R77" s="380"/>
      <c r="S77" s="380"/>
      <c r="X77" s="380"/>
      <c r="Y77" s="380"/>
      <c r="AD77" s="380"/>
      <c r="AE77" s="380"/>
      <c r="AJ77" s="380"/>
      <c r="AK77" s="380"/>
    </row>
    <row r="78" spans="7:37" s="379" customFormat="1" ht="11.25" customHeight="1">
      <c r="G78" s="65" t="str">
        <f>IF(doljnDL="","Должность не задана",doljnDL)</f>
        <v>и.о. заместителя генерального директора по реализации услуг</v>
      </c>
      <c r="H78" s="384"/>
      <c r="I78" s="377"/>
      <c r="J78" s="377"/>
      <c r="K78" s="377"/>
      <c r="L78" s="385"/>
      <c r="M78" s="385"/>
      <c r="N78" s="385"/>
      <c r="O78" s="385"/>
      <c r="P78" s="173" t="str">
        <f>IF(fioDL="","Должностное лицо не задано",fioDL)</f>
        <v>Смышляева Елена Николаевна</v>
      </c>
      <c r="Q78" s="173"/>
      <c r="R78" s="380"/>
      <c r="S78" s="380"/>
      <c r="X78" s="380"/>
      <c r="Y78" s="380"/>
      <c r="AD78" s="380"/>
      <c r="AE78" s="380"/>
      <c r="AJ78" s="380"/>
      <c r="AK78" s="380"/>
    </row>
    <row r="79" spans="7:37" s="379" customFormat="1" ht="11.25">
      <c r="G79" s="579" t="s">
        <v>95</v>
      </c>
      <c r="H79" s="579"/>
      <c r="I79" s="417"/>
      <c r="J79" s="417"/>
      <c r="K79" s="417"/>
      <c r="L79" s="658" t="s">
        <v>94</v>
      </c>
      <c r="M79" s="658"/>
      <c r="N79" s="658"/>
      <c r="O79" s="658"/>
      <c r="P79" s="658"/>
      <c r="Q79" s="151"/>
      <c r="R79" s="380"/>
      <c r="S79" s="380"/>
      <c r="X79" s="380"/>
      <c r="Y79" s="380"/>
      <c r="AD79" s="380"/>
      <c r="AE79" s="380"/>
      <c r="AJ79" s="380"/>
      <c r="AK79" s="380"/>
    </row>
    <row r="80" spans="7:37" s="379" customFormat="1" ht="11.25">
      <c r="G80" s="65" t="str">
        <f>IF(DL_Tel&lt;&gt;"","Телефон: "&amp;DL_Tel&amp;", ","")&amp;IF(DL_email&lt;&gt;"","e-mail: "&amp;DL_email,"")</f>
        <v>Телефон: (88162)680112, e-mail: smen@nokes.natm.ru</v>
      </c>
      <c r="H80" s="384"/>
      <c r="I80" s="377"/>
      <c r="J80" s="377"/>
      <c r="K80" s="377"/>
      <c r="L80" s="385"/>
      <c r="M80" s="385"/>
      <c r="N80" s="385"/>
      <c r="O80" s="383"/>
      <c r="P80" s="383"/>
      <c r="Q80" s="385"/>
      <c r="R80" s="380"/>
      <c r="S80" s="380"/>
      <c r="X80" s="380"/>
      <c r="Y80" s="380"/>
      <c r="AD80" s="380"/>
      <c r="AE80" s="380"/>
      <c r="AJ80" s="380"/>
      <c r="AK80" s="380"/>
    </row>
    <row r="81" spans="7:37" s="379" customFormat="1" ht="11.25">
      <c r="G81" s="579" t="s">
        <v>96</v>
      </c>
      <c r="H81" s="579"/>
      <c r="I81" s="417"/>
      <c r="J81" s="417"/>
      <c r="K81" s="417"/>
      <c r="L81" s="416"/>
      <c r="M81" s="416"/>
      <c r="N81" s="416"/>
      <c r="R81" s="380"/>
      <c r="S81" s="380"/>
      <c r="X81" s="380"/>
      <c r="Y81" s="380"/>
      <c r="AD81" s="380"/>
      <c r="AE81" s="380"/>
      <c r="AJ81" s="380"/>
      <c r="AK81" s="380"/>
    </row>
  </sheetData>
  <sheetProtection formatColumns="0" formatRows="0"/>
  <mergeCells count="73">
    <mergeCell ref="J43:J44"/>
    <mergeCell ref="J45:J46"/>
    <mergeCell ref="BA45:BA46"/>
    <mergeCell ref="BL45:BL46"/>
    <mergeCell ref="AZ45:AZ46"/>
    <mergeCell ref="AG45:AG46"/>
    <mergeCell ref="AH45:AH46"/>
    <mergeCell ref="AA45:AA46"/>
    <mergeCell ref="AR45:AS45"/>
    <mergeCell ref="AT45:AT46"/>
    <mergeCell ref="BN45:BN46"/>
    <mergeCell ref="BB45:BB46"/>
    <mergeCell ref="BD45:BE45"/>
    <mergeCell ref="BF45:BF46"/>
    <mergeCell ref="BG45:BG46"/>
    <mergeCell ref="BH45:BH46"/>
    <mergeCell ref="BJ45:BK45"/>
    <mergeCell ref="AU45:AU46"/>
    <mergeCell ref="AV45:AV46"/>
    <mergeCell ref="AX45:AY45"/>
    <mergeCell ref="BM45:BM46"/>
    <mergeCell ref="BD10:BE10"/>
    <mergeCell ref="BJ10:BK10"/>
    <mergeCell ref="AT11:AV11"/>
    <mergeCell ref="AR43:AV44"/>
    <mergeCell ref="AX43:BB44"/>
    <mergeCell ref="BD43:BH44"/>
    <mergeCell ref="BJ43:BN44"/>
    <mergeCell ref="AR10:AS10"/>
    <mergeCell ref="AX10:AY10"/>
    <mergeCell ref="AD10:AE10"/>
    <mergeCell ref="AD43:AH44"/>
    <mergeCell ref="AJ10:AK10"/>
    <mergeCell ref="AJ43:AN44"/>
    <mergeCell ref="AJ45:AK45"/>
    <mergeCell ref="AL45:AL46"/>
    <mergeCell ref="AM45:AM46"/>
    <mergeCell ref="AN45:AN46"/>
    <mergeCell ref="AD45:AE45"/>
    <mergeCell ref="AF45:AF46"/>
    <mergeCell ref="R10:S10"/>
    <mergeCell ref="X10:Y10"/>
    <mergeCell ref="N11:P11"/>
    <mergeCell ref="T11:V11"/>
    <mergeCell ref="R43:V44"/>
    <mergeCell ref="X43:AB44"/>
    <mergeCell ref="AB45:AB46"/>
    <mergeCell ref="R45:S45"/>
    <mergeCell ref="T45:T46"/>
    <mergeCell ref="U45:U46"/>
    <mergeCell ref="V45:V46"/>
    <mergeCell ref="X45:Y45"/>
    <mergeCell ref="Z45:Z46"/>
    <mergeCell ref="G77:H77"/>
    <mergeCell ref="L77:P77"/>
    <mergeCell ref="G8:H8"/>
    <mergeCell ref="G9:H9"/>
    <mergeCell ref="G43:H43"/>
    <mergeCell ref="G44:H44"/>
    <mergeCell ref="H10:H11"/>
    <mergeCell ref="G10:G11"/>
    <mergeCell ref="L43:P44"/>
    <mergeCell ref="L10:M10"/>
    <mergeCell ref="G79:H79"/>
    <mergeCell ref="L79:P79"/>
    <mergeCell ref="G81:H81"/>
    <mergeCell ref="H45:H46"/>
    <mergeCell ref="L45:M45"/>
    <mergeCell ref="N45:N46"/>
    <mergeCell ref="O45:O46"/>
    <mergeCell ref="P45:P46"/>
    <mergeCell ref="H72:P72"/>
    <mergeCell ref="G45:G46"/>
  </mergeCells>
  <conditionalFormatting sqref="L7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BK37:BK39 BE37:BE39 AY37:AY39 AS37:AS39 L37:M39 BK33:BK34 BE33:BE34 AY33:AY34 AS33:AS34 L33:M34 BK30:BK31 BE30:BE31 AY30:AY31 AS30:AS31 L30:M31 BK24:BK28 BE24:BE28 AY24:AY28 AS24:AS28 L24:M28 BK17:BK22 BE17:BE22 AY17:AY22 AS17:AS22 L17:M22 BK15 BE15 AY15 AS15 L15:M15">
      <formula1>0</formula1>
      <formula2>9.99999999999999E+23</formula2>
    </dataValidation>
    <dataValidation type="list" allowBlank="1" showErrorMessage="1" errorTitle="Ошибка" error="Допускается ввод только целых чисел!" sqref="BK13 AS13 AY13 BE13 L13:M13">
      <formula1>"0,1"</formula1>
    </dataValidation>
    <dataValidation type="textLength" operator="lessThanOrEqual" allowBlank="1" showInputMessage="1" showErrorMessage="1" errorTitle="Ошибка" error="Допускается ввод не более 900 символов!" sqref="H35 H32">
      <formula1>900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F1:AY68"/>
  <sheetViews>
    <sheetView showGridLines="0" showZeros="0" zoomScaleSheetLayoutView="100" zoomScalePageLayoutView="0" workbookViewId="0" topLeftCell="F6">
      <pane ySplit="7" topLeftCell="A49" activePane="bottomLeft" state="frozen"/>
      <selection pane="topLeft" activeCell="A1" sqref="A1"/>
      <selection pane="bottomLeft" activeCell="H71" sqref="H71"/>
    </sheetView>
  </sheetViews>
  <sheetFormatPr defaultColWidth="9.140625" defaultRowHeight="11.25"/>
  <cols>
    <col min="1" max="5" width="0" style="15" hidden="1" customWidth="1"/>
    <col min="6" max="6" width="2.00390625" style="15" customWidth="1"/>
    <col min="7" max="7" width="8.7109375" style="15" customWidth="1"/>
    <col min="8" max="8" width="50.8515625" style="15" customWidth="1"/>
    <col min="9" max="9" width="1.1484375" style="15" customWidth="1"/>
    <col min="10" max="10" width="15.7109375" style="15" customWidth="1"/>
    <col min="11" max="11" width="17.7109375" style="15" customWidth="1"/>
    <col min="12" max="12" width="15.7109375" style="15" customWidth="1"/>
    <col min="13" max="14" width="15.7109375" style="15" hidden="1" customWidth="1"/>
    <col min="15" max="15" width="0.13671875" style="15" customWidth="1"/>
    <col min="16" max="16" width="3.57421875" style="73" customWidth="1"/>
    <col min="17" max="20" width="15.7109375" style="15" hidden="1" customWidth="1"/>
    <col min="21" max="21" width="14.421875" style="56" customWidth="1"/>
    <col min="22" max="16384" width="9.140625" style="15" customWidth="1"/>
  </cols>
  <sheetData>
    <row r="1" spans="6:48" ht="11.25" hidden="1">
      <c r="F1" s="23"/>
      <c r="G1" s="23"/>
      <c r="H1" s="23"/>
      <c r="I1" s="23"/>
      <c r="J1" s="23"/>
      <c r="K1" s="23"/>
      <c r="L1" s="23"/>
      <c r="M1" s="23"/>
      <c r="N1" s="23"/>
      <c r="O1" s="23"/>
      <c r="P1" s="52"/>
      <c r="Q1" s="23"/>
      <c r="R1" s="23"/>
      <c r="S1" s="23"/>
      <c r="T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6:48" ht="11.25" hidden="1">
      <c r="F2" s="23"/>
      <c r="G2" s="23"/>
      <c r="H2" s="23"/>
      <c r="I2" s="23"/>
      <c r="J2" s="23"/>
      <c r="K2" s="23"/>
      <c r="L2" s="23"/>
      <c r="M2" s="23"/>
      <c r="N2" s="23"/>
      <c r="O2" s="23"/>
      <c r="P2" s="52"/>
      <c r="Q2" s="23"/>
      <c r="R2" s="23"/>
      <c r="S2" s="23"/>
      <c r="T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6:48" ht="11.25" hidden="1">
      <c r="F3" s="23"/>
      <c r="G3" s="23"/>
      <c r="H3" s="23"/>
      <c r="I3" s="23"/>
      <c r="J3" s="23"/>
      <c r="K3" s="23"/>
      <c r="L3" s="23"/>
      <c r="M3" s="23"/>
      <c r="N3" s="23"/>
      <c r="O3" s="23"/>
      <c r="P3" s="52"/>
      <c r="Q3" s="23"/>
      <c r="R3" s="23"/>
      <c r="S3" s="23"/>
      <c r="T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6:48" ht="11.25" hidden="1">
      <c r="F4" s="23"/>
      <c r="G4" s="23"/>
      <c r="H4" s="23"/>
      <c r="I4" s="23"/>
      <c r="J4" s="23"/>
      <c r="K4" s="23"/>
      <c r="L4" s="23"/>
      <c r="M4" s="23"/>
      <c r="N4" s="23"/>
      <c r="O4" s="23"/>
      <c r="P4" s="52"/>
      <c r="Q4" s="23"/>
      <c r="R4" s="23"/>
      <c r="S4" s="23"/>
      <c r="T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6:48" ht="11.25" hidden="1">
      <c r="F5" s="23"/>
      <c r="G5" s="23"/>
      <c r="H5" s="23"/>
      <c r="I5" s="23"/>
      <c r="J5" s="23"/>
      <c r="K5" s="23"/>
      <c r="L5" s="23"/>
      <c r="M5" s="23"/>
      <c r="N5" s="23"/>
      <c r="O5" s="23"/>
      <c r="P5" s="52"/>
      <c r="Q5" s="23"/>
      <c r="R5" s="23"/>
      <c r="S5" s="23"/>
      <c r="T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6:48" ht="11.25" hidden="1">
      <c r="F6" s="23"/>
      <c r="G6" s="23"/>
      <c r="H6" s="23"/>
      <c r="I6" s="23"/>
      <c r="J6" s="23"/>
      <c r="K6" s="23"/>
      <c r="L6" s="23"/>
      <c r="M6" s="23"/>
      <c r="N6" s="23"/>
      <c r="O6" s="23"/>
      <c r="P6" s="52"/>
      <c r="Q6" s="23"/>
      <c r="R6" s="23"/>
      <c r="S6" s="23"/>
      <c r="T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6:48" ht="15" customHeight="1">
      <c r="F7" s="52"/>
      <c r="G7" s="52"/>
      <c r="H7" s="71"/>
      <c r="I7" s="71"/>
      <c r="J7" s="52"/>
      <c r="K7" s="52"/>
      <c r="L7" s="52"/>
      <c r="M7" s="52"/>
      <c r="O7" s="17" t="s">
        <v>327</v>
      </c>
      <c r="P7" s="52"/>
      <c r="Q7" s="52"/>
      <c r="R7" s="52"/>
      <c r="S7" s="5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6:48" ht="34.5" customHeight="1">
      <c r="F8" s="52"/>
      <c r="G8" s="584" t="s">
        <v>176</v>
      </c>
      <c r="H8" s="584"/>
      <c r="I8" s="584"/>
      <c r="J8" s="584"/>
      <c r="K8" s="584"/>
      <c r="L8" s="584"/>
      <c r="M8" s="584"/>
      <c r="N8" s="584"/>
      <c r="O8" s="584"/>
      <c r="P8" s="52"/>
      <c r="Q8" s="52"/>
      <c r="R8" s="52"/>
      <c r="S8" s="52"/>
      <c r="T8" s="5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6:48" s="22" customFormat="1" ht="15" customHeight="1">
      <c r="F9" s="50"/>
      <c r="G9" s="595" t="str">
        <f>IF(org&lt;&gt;"",org,"Организация не определена")</f>
        <v>ОАО "Новгородоблэлектро"</v>
      </c>
      <c r="H9" s="595"/>
      <c r="I9" s="595"/>
      <c r="J9" s="595"/>
      <c r="K9" s="595"/>
      <c r="L9" s="595"/>
      <c r="M9" s="595"/>
      <c r="N9" s="595"/>
      <c r="O9" s="595"/>
      <c r="P9" s="50"/>
      <c r="Q9" s="666"/>
      <c r="R9" s="666"/>
      <c r="S9" s="666"/>
      <c r="T9" s="66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6:48" s="20" customFormat="1" ht="27" customHeight="1" thickBot="1">
      <c r="F10" s="24"/>
      <c r="G10" s="24"/>
      <c r="H10" s="62" t="s">
        <v>54</v>
      </c>
      <c r="I10" s="62"/>
      <c r="J10" s="306">
        <v>0.015</v>
      </c>
      <c r="K10" s="298" t="s">
        <v>2</v>
      </c>
      <c r="L10" s="341" t="s">
        <v>23</v>
      </c>
      <c r="M10" s="340"/>
      <c r="N10" s="298"/>
      <c r="O10" s="52"/>
      <c r="P10" s="24"/>
      <c r="Q10" s="228"/>
      <c r="R10" s="667"/>
      <c r="S10" s="667"/>
      <c r="T10" s="223"/>
      <c r="U10" s="20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6:48" s="20" customFormat="1" ht="33.75">
      <c r="F11" s="24"/>
      <c r="G11" s="211" t="s">
        <v>91</v>
      </c>
      <c r="H11" s="211" t="s">
        <v>142</v>
      </c>
      <c r="I11" s="211"/>
      <c r="J11" s="212" t="str">
        <f>IF(prd&lt;&gt;"",prd-1&amp;" год","Не определено")</f>
        <v>2013 год</v>
      </c>
      <c r="K11" s="212" t="str">
        <f>IF(prd&lt;&gt;"",prd&amp;" год","Не определено")</f>
        <v>2014 год</v>
      </c>
      <c r="L11" s="212" t="str">
        <f>IF(prd&lt;&gt;"",prd+1&amp;" год","Не определено")</f>
        <v>2015 год</v>
      </c>
      <c r="M11" s="212" t="str">
        <f>IF(prd&lt;&gt;"",prd+2&amp;" год","Не определено")</f>
        <v>2016 год</v>
      </c>
      <c r="N11" s="212" t="str">
        <f>IF(prd&lt;&gt;"",prd+2&amp;" год","Не определено")</f>
        <v>2016 год</v>
      </c>
      <c r="O11" s="208"/>
      <c r="P11" s="24"/>
      <c r="Q11" s="105"/>
      <c r="R11" s="105"/>
      <c r="S11" s="105"/>
      <c r="T11" s="105"/>
      <c r="U11" s="224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6:48" s="20" customFormat="1" ht="12" thickBot="1">
      <c r="F12" s="24"/>
      <c r="G12" s="470">
        <v>1</v>
      </c>
      <c r="H12" s="470">
        <v>2</v>
      </c>
      <c r="I12" s="470"/>
      <c r="J12" s="470">
        <v>3</v>
      </c>
      <c r="K12" s="470">
        <v>4</v>
      </c>
      <c r="L12" s="470">
        <v>5</v>
      </c>
      <c r="M12" s="320">
        <v>6</v>
      </c>
      <c r="N12" s="320">
        <v>7</v>
      </c>
      <c r="O12" s="209"/>
      <c r="P12" s="24"/>
      <c r="Q12" s="344"/>
      <c r="R12" s="344"/>
      <c r="S12" s="344"/>
      <c r="T12" s="344"/>
      <c r="U12" s="224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6:21" s="56" customFormat="1" ht="11.25">
      <c r="F13" s="513"/>
      <c r="G13" s="471" t="s">
        <v>84</v>
      </c>
      <c r="H13" s="472" t="s">
        <v>74</v>
      </c>
      <c r="I13" s="472"/>
      <c r="J13" s="489"/>
      <c r="K13" s="489"/>
      <c r="L13" s="489"/>
      <c r="M13" s="468"/>
      <c r="N13" s="466"/>
      <c r="O13" s="490"/>
      <c r="P13" s="353"/>
      <c r="Q13" s="345"/>
      <c r="R13" s="345"/>
      <c r="S13" s="345"/>
      <c r="T13" s="345"/>
      <c r="U13" s="225"/>
    </row>
    <row r="14" spans="6:48" ht="11.25">
      <c r="F14" s="513"/>
      <c r="G14" s="473" t="s">
        <v>141</v>
      </c>
      <c r="H14" s="474" t="s">
        <v>39</v>
      </c>
      <c r="I14" s="474"/>
      <c r="J14" s="475">
        <f aca="true" t="shared" si="0" ref="J14:J23">K14</f>
        <v>50</v>
      </c>
      <c r="K14" s="475">
        <f>'ф.6.1 ИндИнф (Ин)'!M46</f>
        <v>50</v>
      </c>
      <c r="L14" s="475">
        <f aca="true" t="shared" si="1" ref="L14:L23">K14</f>
        <v>50</v>
      </c>
      <c r="M14" s="469"/>
      <c r="N14" s="465"/>
      <c r="O14" s="262"/>
      <c r="P14" s="261"/>
      <c r="Q14" s="346"/>
      <c r="R14" s="346"/>
      <c r="S14" s="346"/>
      <c r="T14" s="346"/>
      <c r="U14" s="226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6:48" ht="11.25">
      <c r="F15" s="513"/>
      <c r="G15" s="473" t="s">
        <v>140</v>
      </c>
      <c r="H15" s="474" t="s">
        <v>40</v>
      </c>
      <c r="I15" s="474"/>
      <c r="J15" s="475">
        <f t="shared" si="0"/>
        <v>5</v>
      </c>
      <c r="K15" s="475">
        <f>'ф.6.1 ИндИнф (Ин)'!M49</f>
        <v>5</v>
      </c>
      <c r="L15" s="475">
        <f t="shared" si="1"/>
        <v>5</v>
      </c>
      <c r="M15" s="469"/>
      <c r="N15" s="465"/>
      <c r="O15" s="262"/>
      <c r="P15" s="261"/>
      <c r="Q15" s="346"/>
      <c r="R15" s="346"/>
      <c r="S15" s="346"/>
      <c r="T15" s="346"/>
      <c r="U15" s="226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6:48" ht="11.25">
      <c r="F16" s="513"/>
      <c r="G16" s="473" t="s">
        <v>178</v>
      </c>
      <c r="H16" s="474" t="s">
        <v>41</v>
      </c>
      <c r="I16" s="476"/>
      <c r="J16" s="475">
        <f t="shared" si="0"/>
        <v>1</v>
      </c>
      <c r="K16" s="475">
        <f>'ф.6.1 ИндИнф (Ин)'!M50</f>
        <v>1</v>
      </c>
      <c r="L16" s="475">
        <f t="shared" si="1"/>
        <v>1</v>
      </c>
      <c r="M16" s="469"/>
      <c r="N16" s="465"/>
      <c r="O16" s="262"/>
      <c r="P16" s="261"/>
      <c r="Q16" s="346"/>
      <c r="R16" s="346"/>
      <c r="S16" s="346"/>
      <c r="T16" s="346"/>
      <c r="U16" s="226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6:48" ht="11.25">
      <c r="F17" s="513"/>
      <c r="G17" s="473" t="s">
        <v>179</v>
      </c>
      <c r="H17" s="474" t="s">
        <v>42</v>
      </c>
      <c r="I17" s="476"/>
      <c r="J17" s="475">
        <f t="shared" si="0"/>
        <v>174</v>
      </c>
      <c r="K17" s="475">
        <f>'ф.6.1 ИндИнф (Ин)'!M51</f>
        <v>174</v>
      </c>
      <c r="L17" s="475">
        <f t="shared" si="1"/>
        <v>174</v>
      </c>
      <c r="M17" s="469"/>
      <c r="N17" s="465"/>
      <c r="O17" s="262"/>
      <c r="P17" s="261"/>
      <c r="Q17" s="346"/>
      <c r="R17" s="346"/>
      <c r="S17" s="346"/>
      <c r="T17" s="346"/>
      <c r="U17" s="226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6:48" ht="11.25">
      <c r="F18" s="513"/>
      <c r="G18" s="473" t="s">
        <v>180</v>
      </c>
      <c r="H18" s="474" t="s">
        <v>43</v>
      </c>
      <c r="I18" s="476"/>
      <c r="J18" s="475">
        <f t="shared" si="0"/>
        <v>6</v>
      </c>
      <c r="K18" s="475">
        <f>'ф.6.1 ИндИнф (Ин)'!M52</f>
        <v>6</v>
      </c>
      <c r="L18" s="475">
        <f t="shared" si="1"/>
        <v>6</v>
      </c>
      <c r="M18" s="469"/>
      <c r="N18" s="465"/>
      <c r="O18" s="262"/>
      <c r="P18" s="261"/>
      <c r="Q18" s="346"/>
      <c r="R18" s="346"/>
      <c r="S18" s="346"/>
      <c r="T18" s="346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6:48" ht="11.25">
      <c r="F19" s="513"/>
      <c r="G19" s="473" t="s">
        <v>181</v>
      </c>
      <c r="H19" s="474" t="s">
        <v>44</v>
      </c>
      <c r="I19" s="474"/>
      <c r="J19" s="475">
        <f t="shared" si="0"/>
        <v>1</v>
      </c>
      <c r="K19" s="475">
        <f>'ф.6.1 ИндИнф (Ин)'!M55</f>
        <v>1</v>
      </c>
      <c r="L19" s="475">
        <f t="shared" si="1"/>
        <v>1</v>
      </c>
      <c r="M19" s="469"/>
      <c r="N19" s="465"/>
      <c r="O19" s="262"/>
      <c r="P19" s="261"/>
      <c r="Q19" s="346"/>
      <c r="R19" s="346"/>
      <c r="S19" s="346"/>
      <c r="T19" s="34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6:48" ht="11.25">
      <c r="F20" s="514"/>
      <c r="G20" s="473" t="s">
        <v>182</v>
      </c>
      <c r="H20" s="477" t="s">
        <v>45</v>
      </c>
      <c r="I20" s="477"/>
      <c r="J20" s="475">
        <f t="shared" si="0"/>
        <v>0</v>
      </c>
      <c r="K20" s="475">
        <f>'ф.6.1 ИндИнф (Ин)'!M56</f>
        <v>0</v>
      </c>
      <c r="L20" s="475">
        <f t="shared" si="1"/>
        <v>0</v>
      </c>
      <c r="M20" s="469"/>
      <c r="N20" s="465"/>
      <c r="O20" s="262"/>
      <c r="P20" s="261"/>
      <c r="Q20" s="346"/>
      <c r="R20" s="346"/>
      <c r="S20" s="346"/>
      <c r="T20" s="346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6:48" ht="11.25">
      <c r="F21" s="514"/>
      <c r="G21" s="473" t="s">
        <v>183</v>
      </c>
      <c r="H21" s="478" t="s">
        <v>46</v>
      </c>
      <c r="I21" s="478"/>
      <c r="J21" s="475">
        <f t="shared" si="0"/>
        <v>0</v>
      </c>
      <c r="K21" s="475">
        <f>'ф.6.1 ИндИнф (Ин)'!M57</f>
        <v>0</v>
      </c>
      <c r="L21" s="475">
        <f t="shared" si="1"/>
        <v>0</v>
      </c>
      <c r="M21" s="469"/>
      <c r="N21" s="465"/>
      <c r="O21" s="262"/>
      <c r="P21" s="261"/>
      <c r="Q21" s="346"/>
      <c r="R21" s="346"/>
      <c r="S21" s="346"/>
      <c r="T21" s="346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6:48" ht="11.25">
      <c r="F22" s="515"/>
      <c r="G22" s="473" t="s">
        <v>184</v>
      </c>
      <c r="H22" s="478" t="s">
        <v>47</v>
      </c>
      <c r="I22" s="478"/>
      <c r="J22" s="475">
        <f t="shared" si="0"/>
        <v>1</v>
      </c>
      <c r="K22" s="475">
        <f>'ф.6.1 ИндИнф (Ин)'!M58</f>
        <v>1</v>
      </c>
      <c r="L22" s="475">
        <f t="shared" si="1"/>
        <v>1</v>
      </c>
      <c r="M22" s="469"/>
      <c r="N22" s="465"/>
      <c r="O22" s="262"/>
      <c r="P22" s="261"/>
      <c r="Q22" s="346"/>
      <c r="R22" s="346"/>
      <c r="S22" s="346"/>
      <c r="T22" s="346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6:48" ht="11.25">
      <c r="F23" s="515"/>
      <c r="G23" s="473" t="s">
        <v>185</v>
      </c>
      <c r="H23" s="478" t="s">
        <v>48</v>
      </c>
      <c r="I23" s="478"/>
      <c r="J23" s="475">
        <f t="shared" si="0"/>
        <v>1</v>
      </c>
      <c r="K23" s="475">
        <f>'ф.6.1 ИндИнф (Ин)'!M59</f>
        <v>1</v>
      </c>
      <c r="L23" s="475">
        <f t="shared" si="1"/>
        <v>1</v>
      </c>
      <c r="M23" s="469"/>
      <c r="N23" s="465"/>
      <c r="O23" s="262"/>
      <c r="P23" s="261"/>
      <c r="Q23" s="346"/>
      <c r="R23" s="346"/>
      <c r="S23" s="346"/>
      <c r="T23" s="346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6:48" ht="11.25">
      <c r="F24" s="515"/>
      <c r="G24" s="473" t="s">
        <v>186</v>
      </c>
      <c r="H24" s="478" t="s">
        <v>49</v>
      </c>
      <c r="I24" s="478"/>
      <c r="J24" s="475">
        <f>K24/(1-wrk_f24_k)</f>
        <v>20.297808225429044</v>
      </c>
      <c r="K24" s="475">
        <f>'ф.6.1 ИндИнф (Ин)'!M61</f>
        <v>19.99334110204761</v>
      </c>
      <c r="L24" s="475">
        <f>K24*(1-wrk_f24_k)</f>
        <v>19.693440985516894</v>
      </c>
      <c r="M24" s="469"/>
      <c r="N24" s="465"/>
      <c r="O24" s="262"/>
      <c r="P24" s="261"/>
      <c r="Q24" s="346"/>
      <c r="R24" s="346"/>
      <c r="S24" s="346"/>
      <c r="T24" s="346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6:48" ht="13.5" customHeight="1">
      <c r="F25" s="515"/>
      <c r="G25" s="473" t="s">
        <v>187</v>
      </c>
      <c r="H25" s="478" t="s">
        <v>50</v>
      </c>
      <c r="I25" s="478"/>
      <c r="J25" s="475">
        <f>K25/(1-wrk_f24_k)</f>
        <v>20.297808225429044</v>
      </c>
      <c r="K25" s="475">
        <f>'ф.6.1 ИндИнф (Ин)'!M64</f>
        <v>19.99334110204761</v>
      </c>
      <c r="L25" s="475">
        <f>K25*(1-wrk_f24_k)</f>
        <v>19.693440985516894</v>
      </c>
      <c r="M25" s="469"/>
      <c r="N25" s="465"/>
      <c r="O25" s="262"/>
      <c r="P25" s="261"/>
      <c r="Q25" s="346"/>
      <c r="R25" s="346"/>
      <c r="S25" s="346"/>
      <c r="T25" s="346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6:48" ht="12" thickBot="1">
      <c r="F26" s="515"/>
      <c r="G26" s="473" t="s">
        <v>188</v>
      </c>
      <c r="H26" s="486" t="s">
        <v>51</v>
      </c>
      <c r="I26" s="478"/>
      <c r="J26" s="475">
        <f>K26/(1-wrk_f24_k)</f>
        <v>0.0845037811216863</v>
      </c>
      <c r="K26" s="475">
        <f>'ф.6.1 ИндИнф (Ин)'!M65</f>
        <v>0.083236224404861</v>
      </c>
      <c r="L26" s="475">
        <f>K26*(1-wrk_f24_k)</f>
        <v>0.08198768103878809</v>
      </c>
      <c r="M26" s="469"/>
      <c r="N26" s="465"/>
      <c r="O26" s="263"/>
      <c r="P26" s="261"/>
      <c r="Q26" s="346"/>
      <c r="R26" s="346"/>
      <c r="S26" s="346"/>
      <c r="T26" s="346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6:48" ht="11.25" customHeight="1">
      <c r="F27" s="52"/>
      <c r="G27" s="479" t="s">
        <v>80</v>
      </c>
      <c r="H27" s="516" t="s">
        <v>328</v>
      </c>
      <c r="I27" s="482"/>
      <c r="J27" s="491"/>
      <c r="K27" s="491"/>
      <c r="L27" s="491"/>
      <c r="M27" s="466"/>
      <c r="N27" s="466"/>
      <c r="O27" s="260"/>
      <c r="P27" s="261"/>
      <c r="Q27" s="347"/>
      <c r="R27" s="347"/>
      <c r="S27" s="345"/>
      <c r="T27" s="34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6:48" ht="11.25" customHeight="1">
      <c r="F28" s="52"/>
      <c r="G28" s="480" t="s">
        <v>114</v>
      </c>
      <c r="H28" s="516" t="s">
        <v>39</v>
      </c>
      <c r="I28" s="483"/>
      <c r="J28" s="475">
        <f aca="true" t="shared" si="2" ref="J28:J39">K28/(1-wrk_f24_k)</f>
        <v>29.441624365482234</v>
      </c>
      <c r="K28" s="220">
        <f>'ф.6.2 ИндИспол (Ис)'!M44</f>
        <v>29</v>
      </c>
      <c r="L28" s="475">
        <f aca="true" t="shared" si="3" ref="L28:L39">K28*(1-wrk_f24_k)</f>
        <v>28.565</v>
      </c>
      <c r="M28" s="465"/>
      <c r="N28" s="465"/>
      <c r="O28" s="262"/>
      <c r="P28" s="261"/>
      <c r="Q28" s="346"/>
      <c r="R28" s="346"/>
      <c r="S28" s="346"/>
      <c r="T28" s="346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6:48" ht="11.25" customHeight="1">
      <c r="F29" s="52"/>
      <c r="G29" s="480" t="s">
        <v>113</v>
      </c>
      <c r="H29" s="517" t="s">
        <v>329</v>
      </c>
      <c r="I29" s="484"/>
      <c r="J29" s="475">
        <f t="shared" si="2"/>
        <v>182.74111675126903</v>
      </c>
      <c r="K29" s="220">
        <f>'ф.6.2 ИндИспол (Ис)'!M45</f>
        <v>180</v>
      </c>
      <c r="L29" s="475">
        <f t="shared" si="3"/>
        <v>177.3</v>
      </c>
      <c r="M29" s="465"/>
      <c r="N29" s="465"/>
      <c r="O29" s="262"/>
      <c r="P29" s="261"/>
      <c r="Q29" s="346"/>
      <c r="R29" s="346"/>
      <c r="S29" s="346"/>
      <c r="T29" s="346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6:48" ht="11.25" customHeight="1">
      <c r="F30" s="52"/>
      <c r="G30" s="480" t="s">
        <v>112</v>
      </c>
      <c r="H30" s="516" t="s">
        <v>44</v>
      </c>
      <c r="I30" s="484"/>
      <c r="J30" s="475">
        <f t="shared" si="2"/>
        <v>1.015228426395939</v>
      </c>
      <c r="K30" s="220">
        <f>'ф.6.2 ИндИспол (Ис)'!M47</f>
        <v>1</v>
      </c>
      <c r="L30" s="475">
        <f t="shared" si="3"/>
        <v>0.985</v>
      </c>
      <c r="M30" s="465"/>
      <c r="N30" s="465"/>
      <c r="O30" s="262"/>
      <c r="P30" s="261"/>
      <c r="Q30" s="346"/>
      <c r="R30" s="346"/>
      <c r="S30" s="346"/>
      <c r="T30" s="34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6:48" ht="11.25" customHeight="1">
      <c r="F31" s="52"/>
      <c r="G31" s="480" t="s">
        <v>139</v>
      </c>
      <c r="H31" s="516" t="s">
        <v>330</v>
      </c>
      <c r="I31" s="483"/>
      <c r="J31" s="475">
        <f t="shared" si="2"/>
        <v>30.456852791878173</v>
      </c>
      <c r="K31" s="220">
        <f>'ф.6.2 ИндИспол (Ис)'!M49</f>
        <v>30</v>
      </c>
      <c r="L31" s="475">
        <f t="shared" si="3"/>
        <v>29.55</v>
      </c>
      <c r="M31" s="465"/>
      <c r="N31" s="465"/>
      <c r="O31" s="262"/>
      <c r="P31" s="261"/>
      <c r="Q31" s="346"/>
      <c r="R31" s="346"/>
      <c r="S31" s="346"/>
      <c r="T31" s="346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6:48" ht="11.25" customHeight="1">
      <c r="F32" s="52"/>
      <c r="G32" s="480" t="s">
        <v>138</v>
      </c>
      <c r="H32" s="516" t="s">
        <v>331</v>
      </c>
      <c r="I32" s="483"/>
      <c r="J32" s="475">
        <f t="shared" si="2"/>
        <v>30.456852791878173</v>
      </c>
      <c r="K32" s="220">
        <f>'ф.6.2 ИндИспол (Ис)'!M50</f>
        <v>30</v>
      </c>
      <c r="L32" s="475">
        <f t="shared" si="3"/>
        <v>29.55</v>
      </c>
      <c r="M32" s="465"/>
      <c r="N32" s="465"/>
      <c r="O32" s="262"/>
      <c r="P32" s="261"/>
      <c r="Q32" s="346"/>
      <c r="R32" s="346"/>
      <c r="S32" s="346"/>
      <c r="T32" s="346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6:48" ht="11.25" customHeight="1">
      <c r="F33" s="52"/>
      <c r="G33" s="480" t="s">
        <v>137</v>
      </c>
      <c r="H33" s="516" t="s">
        <v>46</v>
      </c>
      <c r="I33" s="483"/>
      <c r="J33" s="475">
        <f t="shared" si="2"/>
        <v>0</v>
      </c>
      <c r="K33" s="220">
        <f>'ф.6.2 ИндИспол (Ис)'!M51</f>
        <v>0</v>
      </c>
      <c r="L33" s="475">
        <f t="shared" si="3"/>
        <v>0</v>
      </c>
      <c r="M33" s="465"/>
      <c r="N33" s="465"/>
      <c r="O33" s="262"/>
      <c r="P33" s="261"/>
      <c r="Q33" s="346"/>
      <c r="R33" s="346"/>
      <c r="S33" s="346"/>
      <c r="T33" s="34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6:48" ht="11.25" customHeight="1">
      <c r="F34" s="52"/>
      <c r="G34" s="480" t="s">
        <v>189</v>
      </c>
      <c r="H34" s="516" t="s">
        <v>52</v>
      </c>
      <c r="I34" s="483"/>
      <c r="J34" s="475">
        <f t="shared" si="2"/>
        <v>0</v>
      </c>
      <c r="K34" s="220">
        <f>'ф.6.2 ИндИспол (Ис)'!M53</f>
        <v>0</v>
      </c>
      <c r="L34" s="475">
        <f t="shared" si="3"/>
        <v>0</v>
      </c>
      <c r="M34" s="465"/>
      <c r="N34" s="465"/>
      <c r="O34" s="262"/>
      <c r="P34" s="261"/>
      <c r="Q34" s="346"/>
      <c r="R34" s="346"/>
      <c r="S34" s="346"/>
      <c r="T34" s="346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6:48" ht="12" customHeight="1" thickBot="1">
      <c r="F35" s="52"/>
      <c r="G35" s="480" t="s">
        <v>190</v>
      </c>
      <c r="H35" s="516" t="s">
        <v>53</v>
      </c>
      <c r="I35" s="483"/>
      <c r="J35" s="475">
        <f t="shared" si="2"/>
        <v>0</v>
      </c>
      <c r="K35" s="220">
        <f>'ф.6.2 ИндИспол (Ис)'!M55</f>
        <v>0</v>
      </c>
      <c r="L35" s="475">
        <f t="shared" si="3"/>
        <v>0</v>
      </c>
      <c r="M35" s="465"/>
      <c r="N35" s="465"/>
      <c r="O35" s="263"/>
      <c r="P35" s="261"/>
      <c r="Q35" s="346"/>
      <c r="R35" s="346"/>
      <c r="S35" s="346"/>
      <c r="T35" s="346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6:48" ht="18.75" customHeight="1">
      <c r="F36" s="52"/>
      <c r="G36" s="480" t="s">
        <v>301</v>
      </c>
      <c r="H36" s="516" t="s">
        <v>49</v>
      </c>
      <c r="I36" s="485"/>
      <c r="J36" s="475">
        <f t="shared" si="2"/>
        <v>212.18274111675126</v>
      </c>
      <c r="K36" s="220">
        <f>'ф.6.2 ИндИспол (Ис)'!M57</f>
        <v>209</v>
      </c>
      <c r="L36" s="475">
        <f t="shared" si="3"/>
        <v>205.865</v>
      </c>
      <c r="M36" s="466"/>
      <c r="N36" s="466"/>
      <c r="O36" s="264"/>
      <c r="P36" s="261"/>
      <c r="Q36" s="347"/>
      <c r="R36" s="347"/>
      <c r="S36" s="345"/>
      <c r="T36" s="34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6:48" ht="18.75" customHeight="1">
      <c r="F37" s="52"/>
      <c r="G37" s="480" t="s">
        <v>302</v>
      </c>
      <c r="H37" s="516" t="s">
        <v>50</v>
      </c>
      <c r="I37" s="483"/>
      <c r="J37" s="475">
        <f t="shared" si="2"/>
        <v>1.015228426395939</v>
      </c>
      <c r="K37" s="220">
        <f>'ф.6.2 ИндИспол (Ис)'!M59</f>
        <v>1</v>
      </c>
      <c r="L37" s="475">
        <f t="shared" si="3"/>
        <v>0.985</v>
      </c>
      <c r="M37" s="465"/>
      <c r="N37" s="465"/>
      <c r="O37" s="264"/>
      <c r="P37" s="261"/>
      <c r="Q37" s="346"/>
      <c r="R37" s="346"/>
      <c r="S37" s="346"/>
      <c r="T37" s="346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6:48" ht="18.75" customHeight="1">
      <c r="F38" s="52"/>
      <c r="G38" s="480" t="s">
        <v>303</v>
      </c>
      <c r="H38" s="516" t="s">
        <v>51</v>
      </c>
      <c r="I38" s="484"/>
      <c r="J38" s="475">
        <f t="shared" si="2"/>
        <v>60.91370558375635</v>
      </c>
      <c r="K38" s="220">
        <f>'ф.6.2 ИндИспол (Ис)'!M60</f>
        <v>60</v>
      </c>
      <c r="L38" s="475">
        <f t="shared" si="3"/>
        <v>59.1</v>
      </c>
      <c r="M38" s="465"/>
      <c r="N38" s="465"/>
      <c r="O38" s="264"/>
      <c r="P38" s="261"/>
      <c r="Q38" s="346"/>
      <c r="R38" s="346"/>
      <c r="S38" s="346"/>
      <c r="T38" s="346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6:48" ht="12.75" customHeight="1">
      <c r="F39" s="52"/>
      <c r="G39" s="480" t="s">
        <v>304</v>
      </c>
      <c r="H39" s="518" t="s">
        <v>332</v>
      </c>
      <c r="I39" s="484"/>
      <c r="J39" s="475">
        <f t="shared" si="2"/>
        <v>0</v>
      </c>
      <c r="K39" s="220">
        <f>'ф.6.2 ИндИспол (Ис)'!M62</f>
        <v>0</v>
      </c>
      <c r="L39" s="475">
        <f t="shared" si="3"/>
        <v>0</v>
      </c>
      <c r="M39" s="465"/>
      <c r="N39" s="465"/>
      <c r="O39" s="264"/>
      <c r="P39" s="261"/>
      <c r="Q39" s="346"/>
      <c r="R39" s="346"/>
      <c r="S39" s="346"/>
      <c r="T39" s="346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6:20" s="56" customFormat="1" ht="13.5" customHeight="1">
      <c r="F40" s="50"/>
      <c r="G40" s="481" t="s">
        <v>81</v>
      </c>
      <c r="H40" s="519" t="s">
        <v>333</v>
      </c>
      <c r="I40" s="488"/>
      <c r="J40" s="465"/>
      <c r="K40" s="465"/>
      <c r="L40" s="465"/>
      <c r="M40" s="465"/>
      <c r="N40" s="465"/>
      <c r="O40" s="487"/>
      <c r="P40" s="353"/>
      <c r="Q40" s="346"/>
      <c r="R40" s="346"/>
      <c r="S40" s="346"/>
      <c r="T40" s="346"/>
    </row>
    <row r="41" spans="6:48" ht="13.5" customHeight="1">
      <c r="F41" s="52"/>
      <c r="G41" s="480" t="s">
        <v>136</v>
      </c>
      <c r="H41" s="520" t="s">
        <v>55</v>
      </c>
      <c r="I41" s="483"/>
      <c r="J41" s="475">
        <f>K41</f>
        <v>1</v>
      </c>
      <c r="K41" s="220">
        <f>'ф.6.3 ИндРезул. (Рс)'!M48</f>
        <v>1</v>
      </c>
      <c r="L41" s="475">
        <f>K41</f>
        <v>1</v>
      </c>
      <c r="M41" s="465"/>
      <c r="N41" s="465"/>
      <c r="O41" s="264"/>
      <c r="P41" s="261"/>
      <c r="Q41" s="346"/>
      <c r="R41" s="346"/>
      <c r="S41" s="346"/>
      <c r="T41" s="346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6:48" ht="13.5" customHeight="1">
      <c r="F42" s="52"/>
      <c r="G42" s="480" t="s">
        <v>165</v>
      </c>
      <c r="H42" s="520" t="s">
        <v>44</v>
      </c>
      <c r="I42" s="483"/>
      <c r="J42" s="475">
        <f aca="true" t="shared" si="4" ref="J42:J48">K42/(1-wrk_f24_k)</f>
        <v>2.8731285581373336</v>
      </c>
      <c r="K42" s="220">
        <f>'ф.6.3 ИндРезул. (Рс)'!M51</f>
        <v>2.8300316297652737</v>
      </c>
      <c r="L42" s="475">
        <f aca="true" t="shared" si="5" ref="L42:L48">K42*(1-wrk_f24_k)</f>
        <v>2.7875811553187946</v>
      </c>
      <c r="M42" s="465"/>
      <c r="N42" s="465"/>
      <c r="O42" s="264"/>
      <c r="P42" s="261"/>
      <c r="Q42" s="346"/>
      <c r="R42" s="346"/>
      <c r="S42" s="346"/>
      <c r="T42" s="346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6:48" ht="13.5" customHeight="1">
      <c r="F43" s="52"/>
      <c r="G43" s="480" t="s">
        <v>334</v>
      </c>
      <c r="H43" s="520" t="s">
        <v>45</v>
      </c>
      <c r="I43" s="483"/>
      <c r="J43" s="475">
        <f t="shared" si="4"/>
        <v>101.5228426395939</v>
      </c>
      <c r="K43" s="220">
        <f>'ф.6.3 ИндРезул. (Рс)'!M52</f>
        <v>100</v>
      </c>
      <c r="L43" s="475">
        <f t="shared" si="5"/>
        <v>98.5</v>
      </c>
      <c r="M43" s="465"/>
      <c r="N43" s="465"/>
      <c r="O43" s="264"/>
      <c r="P43" s="261"/>
      <c r="Q43" s="346"/>
      <c r="R43" s="346"/>
      <c r="S43" s="346"/>
      <c r="T43" s="346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6:48" ht="13.5" customHeight="1">
      <c r="F44" s="52"/>
      <c r="G44" s="480" t="s">
        <v>63</v>
      </c>
      <c r="H44" s="520" t="s">
        <v>46</v>
      </c>
      <c r="I44" s="483"/>
      <c r="J44" s="475">
        <f t="shared" si="4"/>
        <v>1.1943863839952225</v>
      </c>
      <c r="K44" s="220">
        <f>'ф.6.3 ИндРезул. (Рс)'!M53</f>
        <v>1.1764705882352942</v>
      </c>
      <c r="L44" s="475">
        <f t="shared" si="5"/>
        <v>1.1588235294117648</v>
      </c>
      <c r="M44" s="465"/>
      <c r="N44" s="465"/>
      <c r="O44" s="264"/>
      <c r="P44" s="261"/>
      <c r="Q44" s="346"/>
      <c r="R44" s="346"/>
      <c r="S44" s="346"/>
      <c r="T44" s="346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6:48" ht="13.5" customHeight="1">
      <c r="F45" s="52"/>
      <c r="G45" s="480" t="s">
        <v>64</v>
      </c>
      <c r="H45" s="520" t="s">
        <v>56</v>
      </c>
      <c r="I45" s="483"/>
      <c r="J45" s="475">
        <f t="shared" si="4"/>
        <v>0.05070226867301177</v>
      </c>
      <c r="K45" s="220">
        <f>'ф.6.3 ИндРезул. (Рс)'!M54</f>
        <v>0.049941734642916596</v>
      </c>
      <c r="L45" s="475">
        <f t="shared" si="5"/>
        <v>0.04919260862327285</v>
      </c>
      <c r="M45" s="465"/>
      <c r="N45" s="465"/>
      <c r="O45" s="264"/>
      <c r="P45" s="261"/>
      <c r="Q45" s="346"/>
      <c r="R45" s="346"/>
      <c r="S45" s="346"/>
      <c r="T45" s="346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6:48" ht="13.5" customHeight="1">
      <c r="F46" s="52"/>
      <c r="G46" s="480" t="s">
        <v>65</v>
      </c>
      <c r="H46" s="520" t="s">
        <v>57</v>
      </c>
      <c r="I46" s="484"/>
      <c r="J46" s="475">
        <f t="shared" si="4"/>
        <v>0.05070226867301177</v>
      </c>
      <c r="K46" s="220">
        <f>'ф.6.3 ИндРезул. (Рс)'!M55</f>
        <v>0.049941734642916596</v>
      </c>
      <c r="L46" s="475">
        <f t="shared" si="5"/>
        <v>0.04919260862327285</v>
      </c>
      <c r="M46" s="465"/>
      <c r="N46" s="465"/>
      <c r="O46" s="264"/>
      <c r="P46" s="261"/>
      <c r="Q46" s="346"/>
      <c r="R46" s="346"/>
      <c r="S46" s="346"/>
      <c r="T46" s="34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6:48" ht="13.5" customHeight="1">
      <c r="F47" s="52"/>
      <c r="G47" s="480" t="s">
        <v>66</v>
      </c>
      <c r="H47" s="520" t="s">
        <v>58</v>
      </c>
      <c r="I47" s="484"/>
      <c r="J47" s="475">
        <f t="shared" si="4"/>
        <v>2.030456852791878</v>
      </c>
      <c r="K47" s="220">
        <f>'ф.6.3 ИндРезул. (Рс)'!M56</f>
        <v>2</v>
      </c>
      <c r="L47" s="475">
        <f t="shared" si="5"/>
        <v>1.97</v>
      </c>
      <c r="M47" s="465"/>
      <c r="N47" s="465"/>
      <c r="O47" s="264"/>
      <c r="P47" s="261"/>
      <c r="Q47" s="346"/>
      <c r="R47" s="346"/>
      <c r="S47" s="346"/>
      <c r="T47" s="346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6:48" ht="13.5" customHeight="1">
      <c r="F48" s="52"/>
      <c r="G48" s="480" t="s">
        <v>67</v>
      </c>
      <c r="H48" s="520" t="s">
        <v>52</v>
      </c>
      <c r="I48" s="483"/>
      <c r="J48" s="475">
        <f t="shared" si="4"/>
        <v>30.456852791878173</v>
      </c>
      <c r="K48" s="220">
        <f>'ф.6.3 ИндРезул. (Рс)'!M59</f>
        <v>30</v>
      </c>
      <c r="L48" s="475">
        <f t="shared" si="5"/>
        <v>29.55</v>
      </c>
      <c r="M48" s="465"/>
      <c r="N48" s="465"/>
      <c r="O48" s="264"/>
      <c r="P48" s="261"/>
      <c r="Q48" s="346"/>
      <c r="R48" s="346"/>
      <c r="S48" s="346"/>
      <c r="T48" s="346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6:48" ht="13.5" customHeight="1">
      <c r="F49" s="52"/>
      <c r="G49" s="480" t="s">
        <v>68</v>
      </c>
      <c r="H49" s="520" t="s">
        <v>59</v>
      </c>
      <c r="I49" s="483"/>
      <c r="J49" s="475">
        <f>K49</f>
        <v>0</v>
      </c>
      <c r="K49" s="220">
        <f>'ф.6.3 ИндРезул. (Рс)'!M61</f>
        <v>0</v>
      </c>
      <c r="L49" s="475">
        <f>K49</f>
        <v>0</v>
      </c>
      <c r="M49" s="465"/>
      <c r="N49" s="465"/>
      <c r="O49" s="264"/>
      <c r="P49" s="261"/>
      <c r="Q49" s="346"/>
      <c r="R49" s="346"/>
      <c r="S49" s="346"/>
      <c r="T49" s="346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6:48" ht="13.5" customHeight="1">
      <c r="F50" s="52"/>
      <c r="G50" s="480" t="s">
        <v>69</v>
      </c>
      <c r="H50" s="520" t="s">
        <v>60</v>
      </c>
      <c r="I50" s="483"/>
      <c r="J50" s="475">
        <f>K50</f>
        <v>0</v>
      </c>
      <c r="K50" s="220">
        <f>'ф.6.3 ИндРезул. (Рс)'!M62</f>
        <v>0</v>
      </c>
      <c r="L50" s="475">
        <f>K50</f>
        <v>0</v>
      </c>
      <c r="M50" s="465"/>
      <c r="N50" s="465"/>
      <c r="O50" s="264"/>
      <c r="P50" s="261"/>
      <c r="Q50" s="346"/>
      <c r="R50" s="346"/>
      <c r="S50" s="346"/>
      <c r="T50" s="346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6:48" ht="13.5" customHeight="1">
      <c r="F51" s="52"/>
      <c r="G51" s="480" t="s">
        <v>70</v>
      </c>
      <c r="H51" s="520" t="s">
        <v>61</v>
      </c>
      <c r="I51" s="483"/>
      <c r="J51" s="475">
        <f>K51</f>
        <v>0</v>
      </c>
      <c r="K51" s="220">
        <f>'ф.6.3 ИндРезул. (Рс)'!M63</f>
        <v>0</v>
      </c>
      <c r="L51" s="475">
        <f>K51</f>
        <v>0</v>
      </c>
      <c r="M51" s="465"/>
      <c r="N51" s="465"/>
      <c r="O51" s="264"/>
      <c r="P51" s="261"/>
      <c r="Q51" s="346"/>
      <c r="R51" s="346"/>
      <c r="S51" s="346"/>
      <c r="T51" s="346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6:48" ht="13.5" customHeight="1">
      <c r="F52" s="52"/>
      <c r="G52" s="480" t="s">
        <v>71</v>
      </c>
      <c r="H52" s="520" t="s">
        <v>53</v>
      </c>
      <c r="I52" s="483"/>
      <c r="J52" s="475">
        <f>K52/(1-wrk_f24_k)</f>
        <v>0</v>
      </c>
      <c r="K52" s="220">
        <f>'ф.6.3 ИндРезул. (Рс)'!M65</f>
        <v>0</v>
      </c>
      <c r="L52" s="475">
        <f>K52*(1-wrk_f24_k)</f>
        <v>0</v>
      </c>
      <c r="M52" s="465"/>
      <c r="N52" s="465"/>
      <c r="O52" s="264"/>
      <c r="P52" s="261"/>
      <c r="Q52" s="346"/>
      <c r="R52" s="346"/>
      <c r="S52" s="346"/>
      <c r="T52" s="346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6:48" ht="13.5" customHeight="1">
      <c r="F53" s="52"/>
      <c r="G53" s="480" t="s">
        <v>72</v>
      </c>
      <c r="H53" s="520" t="s">
        <v>49</v>
      </c>
      <c r="I53" s="483"/>
      <c r="J53" s="475">
        <f>K53/(1-wrk_f24_k)</f>
        <v>1.015228426395939</v>
      </c>
      <c r="K53" s="220">
        <f>'ф.6.3 ИндРезул. (Рс)'!M68</f>
        <v>1</v>
      </c>
      <c r="L53" s="475">
        <f>K53*(1-wrk_f24_k)</f>
        <v>0.985</v>
      </c>
      <c r="M53" s="465"/>
      <c r="N53" s="465"/>
      <c r="O53" s="264"/>
      <c r="P53" s="261"/>
      <c r="Q53" s="346"/>
      <c r="R53" s="346"/>
      <c r="S53" s="346"/>
      <c r="T53" s="34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6:48" ht="13.5" customHeight="1" thickBot="1">
      <c r="F54" s="52"/>
      <c r="G54" s="480" t="s">
        <v>73</v>
      </c>
      <c r="H54" s="520" t="s">
        <v>62</v>
      </c>
      <c r="I54" s="484"/>
      <c r="J54" s="475">
        <f>K54/(1-wrk_f24_k)</f>
        <v>0</v>
      </c>
      <c r="K54" s="220">
        <f>'ф.6.3 ИндРезул. (Рс)'!M69</f>
        <v>0</v>
      </c>
      <c r="L54" s="475">
        <f>K54*(1-wrk_f24_k)</f>
        <v>0</v>
      </c>
      <c r="M54" s="465"/>
      <c r="N54" s="465"/>
      <c r="O54" s="264"/>
      <c r="P54" s="261"/>
      <c r="Q54" s="346"/>
      <c r="R54" s="346"/>
      <c r="S54" s="346"/>
      <c r="T54" s="346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6:48" ht="48.75" customHeight="1" thickBot="1">
      <c r="F55" s="52"/>
      <c r="G55" s="214" t="s">
        <v>124</v>
      </c>
      <c r="H55" s="535" t="s">
        <v>339</v>
      </c>
      <c r="I55" s="215"/>
      <c r="J55" s="216">
        <v>1.0102</v>
      </c>
      <c r="K55" s="216">
        <v>0.8975</v>
      </c>
      <c r="L55" s="216">
        <v>0.8975</v>
      </c>
      <c r="M55" s="467"/>
      <c r="N55" s="467"/>
      <c r="O55" s="210"/>
      <c r="P55" s="52"/>
      <c r="Q55" s="348"/>
      <c r="R55" s="348"/>
      <c r="S55" s="348"/>
      <c r="T55" s="348"/>
      <c r="U55" s="512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6:48" ht="29.25" customHeight="1">
      <c r="F56" s="52"/>
      <c r="G56" s="664" t="s">
        <v>132</v>
      </c>
      <c r="H56" s="665"/>
      <c r="I56" s="665"/>
      <c r="J56" s="665"/>
      <c r="K56" s="665"/>
      <c r="L56" s="665"/>
      <c r="M56" s="665"/>
      <c r="N56" s="665"/>
      <c r="O56" s="52"/>
      <c r="P56" s="52"/>
      <c r="Q56" s="52"/>
      <c r="R56" s="52"/>
      <c r="S56" s="52"/>
      <c r="T56" s="52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6:48" ht="24.75" customHeight="1">
      <c r="F57" s="52"/>
      <c r="G57" s="664" t="s">
        <v>340</v>
      </c>
      <c r="H57" s="665"/>
      <c r="I57" s="665"/>
      <c r="J57" s="665"/>
      <c r="K57" s="665"/>
      <c r="L57" s="665"/>
      <c r="M57" s="665"/>
      <c r="N57" s="665"/>
      <c r="O57" s="52"/>
      <c r="P57" s="52"/>
      <c r="Q57" s="52"/>
      <c r="R57" s="52"/>
      <c r="S57" s="52"/>
      <c r="T57" s="52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6:42" s="6" customFormat="1" ht="11.25">
      <c r="F58" s="9"/>
      <c r="G58" s="47"/>
      <c r="H58" s="7"/>
      <c r="I58" s="7"/>
      <c r="J58" s="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6:48" s="6" customFormat="1" ht="15" customHeight="1">
      <c r="F59" s="9"/>
      <c r="G59" s="9"/>
      <c r="H59" s="9" t="s">
        <v>92</v>
      </c>
      <c r="I59" s="9"/>
      <c r="J59" s="1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27"/>
      <c r="V59" s="13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6:48" s="6" customFormat="1" ht="11.25">
      <c r="F60" s="9"/>
      <c r="G60" s="9"/>
      <c r="H60" s="10"/>
      <c r="I60" s="10"/>
      <c r="J60" s="1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27"/>
      <c r="V60" s="13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6:51" s="6" customFormat="1" ht="11.25">
      <c r="F61" s="9"/>
      <c r="G61" s="11"/>
      <c r="H61" s="12"/>
      <c r="I61" s="12"/>
      <c r="J61" s="12"/>
      <c r="K61" s="12"/>
      <c r="L61" s="12"/>
      <c r="M61" s="12"/>
      <c r="N61" s="59" t="str">
        <f>IF(fioRUK="","Руководитель не задан",fioRUK)</f>
        <v>Муравин Алексей Анатольевич</v>
      </c>
      <c r="O61" s="8"/>
      <c r="P61" s="8"/>
      <c r="Q61" s="12"/>
      <c r="R61" s="12"/>
      <c r="S61" s="12"/>
      <c r="T61" s="59" t="str">
        <f>IF(fioRUK="","Руководитель не задан",fioRUK)</f>
        <v>Муравин Алексей Анатольевич</v>
      </c>
      <c r="U61" s="227"/>
      <c r="V61" s="13"/>
      <c r="W61" s="13"/>
      <c r="X61" s="13"/>
      <c r="Y61" s="13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6:51" s="6" customFormat="1" ht="11.25">
      <c r="F62" s="9"/>
      <c r="G62" s="579" t="s">
        <v>93</v>
      </c>
      <c r="H62" s="579"/>
      <c r="I62" s="81"/>
      <c r="J62" s="81"/>
      <c r="K62" s="81"/>
      <c r="L62" s="81"/>
      <c r="M62" s="579" t="s">
        <v>94</v>
      </c>
      <c r="N62" s="579"/>
      <c r="O62" s="60"/>
      <c r="P62" s="60"/>
      <c r="Q62" s="81"/>
      <c r="R62" s="81"/>
      <c r="S62" s="579" t="s">
        <v>94</v>
      </c>
      <c r="T62" s="579"/>
      <c r="U62" s="227"/>
      <c r="V62" s="13"/>
      <c r="W62" s="13"/>
      <c r="X62" s="13"/>
      <c r="Y62" s="13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6:51" s="6" customFormat="1" ht="11.25">
      <c r="F63" s="9"/>
      <c r="G63" s="61" t="str">
        <f>IF(doljnDL="","Должность не задана",doljnDL)</f>
        <v>и.о. заместителя генерального директора по реализации услуг</v>
      </c>
      <c r="H63" s="12"/>
      <c r="I63" s="12"/>
      <c r="J63" s="12"/>
      <c r="K63" s="12"/>
      <c r="L63" s="12"/>
      <c r="M63" s="12"/>
      <c r="N63" s="59" t="str">
        <f>IF(fioDL="","Должностное лицо не задано",fioDL)</f>
        <v>Смышляева Елена Николаевна</v>
      </c>
      <c r="O63" s="8"/>
      <c r="P63" s="8"/>
      <c r="Q63" s="12"/>
      <c r="R63" s="12"/>
      <c r="S63" s="12"/>
      <c r="T63" s="59" t="str">
        <f>IF(fioDL="","Должностное лицо не задано",fioDL)</f>
        <v>Смышляева Елена Николаевна</v>
      </c>
      <c r="U63" s="227"/>
      <c r="V63" s="13"/>
      <c r="W63" s="13"/>
      <c r="X63" s="13"/>
      <c r="Y63" s="13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6:51" s="6" customFormat="1" ht="11.25">
      <c r="F64" s="9"/>
      <c r="G64" s="579" t="s">
        <v>95</v>
      </c>
      <c r="H64" s="579"/>
      <c r="I64" s="81"/>
      <c r="J64" s="81"/>
      <c r="K64" s="81"/>
      <c r="L64" s="81"/>
      <c r="M64" s="579" t="s">
        <v>94</v>
      </c>
      <c r="N64" s="579"/>
      <c r="O64" s="60"/>
      <c r="P64" s="60"/>
      <c r="Q64" s="81"/>
      <c r="R64" s="81"/>
      <c r="S64" s="579" t="s">
        <v>94</v>
      </c>
      <c r="T64" s="579"/>
      <c r="U64" s="227"/>
      <c r="V64" s="13"/>
      <c r="W64" s="13"/>
      <c r="X64" s="13"/>
      <c r="Y64" s="13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6:51" s="6" customFormat="1" ht="11.25">
      <c r="F65" s="9"/>
      <c r="G65" s="65" t="str">
        <f>IF(DL_Tel&lt;&gt;"","Телефон: "&amp;DL_Tel&amp;", ","")&amp;IF(DL_email&lt;&gt;"","e-mail: "&amp;DL_email,"")</f>
        <v>Телефон: (88162)680112, e-mail: smen@nokes.natm.ru</v>
      </c>
      <c r="H65" s="7"/>
      <c r="I65" s="7"/>
      <c r="J65" s="7"/>
      <c r="K65" s="7"/>
      <c r="L65" s="7"/>
      <c r="M65" s="7"/>
      <c r="N65" s="63"/>
      <c r="O65" s="8"/>
      <c r="P65" s="8"/>
      <c r="Q65" s="7"/>
      <c r="R65" s="7"/>
      <c r="S65" s="7"/>
      <c r="T65" s="63"/>
      <c r="U65" s="227"/>
      <c r="V65" s="13"/>
      <c r="W65" s="13"/>
      <c r="X65" s="13"/>
      <c r="Y65" s="13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6:51" s="6" customFormat="1" ht="11.25" customHeight="1">
      <c r="F66" s="9"/>
      <c r="G66" s="579" t="s">
        <v>96</v>
      </c>
      <c r="H66" s="579"/>
      <c r="I66" s="81"/>
      <c r="J66" s="81"/>
      <c r="K66" s="81"/>
      <c r="L66" s="81"/>
      <c r="M66" s="99"/>
      <c r="N66" s="99"/>
      <c r="O66" s="60"/>
      <c r="P66" s="60"/>
      <c r="Q66" s="81"/>
      <c r="R66" s="81"/>
      <c r="S66" s="99"/>
      <c r="T66" s="99"/>
      <c r="U66" s="227"/>
      <c r="V66" s="13"/>
      <c r="W66" s="13"/>
      <c r="X66" s="13"/>
      <c r="Y66" s="13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6:48" ht="11.25"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="73" customFormat="1" ht="11.25">
      <c r="U68" s="50"/>
    </row>
  </sheetData>
  <sheetProtection formatColumns="0" formatRows="0"/>
  <mergeCells count="13">
    <mergeCell ref="G66:H66"/>
    <mergeCell ref="G9:O9"/>
    <mergeCell ref="G64:H64"/>
    <mergeCell ref="M64:N64"/>
    <mergeCell ref="R10:S10"/>
    <mergeCell ref="S62:T62"/>
    <mergeCell ref="G8:O8"/>
    <mergeCell ref="G62:H62"/>
    <mergeCell ref="M62:N62"/>
    <mergeCell ref="G56:N56"/>
    <mergeCell ref="G57:N57"/>
    <mergeCell ref="S64:T64"/>
    <mergeCell ref="Q9:T9"/>
  </mergeCells>
  <conditionalFormatting sqref="J13:N13 Q13:T55 J36:N54 J13:J55 K14:N55">
    <cfRule type="cellIs" priority="148" dxfId="3" operator="equal" stopIfTrue="1">
      <formula>""""""</formula>
    </cfRule>
    <cfRule type="cellIs" priority="149" dxfId="3" operator="between" stopIfTrue="1">
      <formula>""""""</formula>
      <formula>""""""</formula>
    </cfRule>
    <cfRule type="cellIs" priority="150" dxfId="3" operator="equal" stopIfTrue="1">
      <formula>""""""</formula>
    </cfRule>
  </conditionalFormatting>
  <conditionalFormatting sqref="Q55:T55">
    <cfRule type="cellIs" priority="121" dxfId="3" operator="equal" stopIfTrue="1">
      <formula>""""""</formula>
    </cfRule>
    <cfRule type="cellIs" priority="122" dxfId="3" operator="between" stopIfTrue="1">
      <formula>""""""</formula>
      <formula>""""""</formula>
    </cfRule>
    <cfRule type="cellIs" priority="123" dxfId="3" operator="equal" stopIfTrue="1">
      <formula>""""""</formula>
    </cfRule>
  </conditionalFormatting>
  <dataValidations count="1">
    <dataValidation type="list" allowBlank="1" showInputMessage="1" showErrorMessage="1" sqref="T10">
      <formula1>"Да,Нет"</formula1>
    </dataValidation>
  </dataValidations>
  <printOptions/>
  <pageMargins left="0.7874015748031497" right="0.31496062992125984" top="0.43" bottom="0.3937007874015748" header="0.1968503937007874" footer="0.196850393700787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F1:L22"/>
  <sheetViews>
    <sheetView showGridLines="0" zoomScalePageLayoutView="0" workbookViewId="0" topLeftCell="F6">
      <selection activeCell="H36" sqref="H36"/>
    </sheetView>
  </sheetViews>
  <sheetFormatPr defaultColWidth="9.140625" defaultRowHeight="11.25"/>
  <cols>
    <col min="1" max="5" width="9.140625" style="75" hidden="1" customWidth="1"/>
    <col min="6" max="6" width="3.7109375" style="75" customWidth="1"/>
    <col min="7" max="7" width="8.7109375" style="75" customWidth="1"/>
    <col min="8" max="8" width="34.140625" style="75" customWidth="1"/>
    <col min="9" max="9" width="30.140625" style="75" customWidth="1"/>
    <col min="10" max="10" width="39.00390625" style="75" customWidth="1"/>
    <col min="11" max="11" width="3.7109375" style="75" customWidth="1"/>
    <col min="12" max="12" width="9.140625" style="116" customWidth="1"/>
    <col min="13" max="16384" width="9.140625" style="75" customWidth="1"/>
  </cols>
  <sheetData>
    <row r="1" s="113" customFormat="1" ht="11.25" hidden="1">
      <c r="L1" s="114"/>
    </row>
    <row r="2" s="113" customFormat="1" ht="11.25" hidden="1">
      <c r="L2" s="114"/>
    </row>
    <row r="3" s="113" customFormat="1" ht="11.25" hidden="1">
      <c r="L3" s="114"/>
    </row>
    <row r="4" s="113" customFormat="1" ht="11.25" hidden="1">
      <c r="L4" s="114"/>
    </row>
    <row r="5" s="113" customFormat="1" ht="11.25" hidden="1">
      <c r="L5" s="114"/>
    </row>
    <row r="6" s="113" customFormat="1" ht="11.25">
      <c r="L6" s="114"/>
    </row>
    <row r="7" spans="6:11" ht="15" customHeight="1">
      <c r="F7" s="52"/>
      <c r="G7" s="52"/>
      <c r="H7" s="71"/>
      <c r="I7" s="71"/>
      <c r="J7" s="17"/>
      <c r="K7" s="115"/>
    </row>
    <row r="8" spans="6:11" s="118" customFormat="1" ht="19.5" customHeight="1">
      <c r="F8" s="117"/>
      <c r="G8" s="668" t="s">
        <v>210</v>
      </c>
      <c r="H8" s="668"/>
      <c r="I8" s="668"/>
      <c r="J8" s="668"/>
      <c r="K8" s="117"/>
    </row>
    <row r="9" spans="6:12" s="118" customFormat="1" ht="15" customHeight="1">
      <c r="F9" s="117"/>
      <c r="G9" s="669" t="s">
        <v>305</v>
      </c>
      <c r="H9" s="669"/>
      <c r="I9" s="669"/>
      <c r="J9" s="547">
        <f>0.1*'ф.6.1 ИндИнф (Ин)'!P66+0.7*'ф.6.2 ИндИспол (Ис)'!P63+0.2*'ф.6.3 ИндРезул. (Рс)'!P70</f>
        <v>0.9694666666666666</v>
      </c>
      <c r="K9" s="117"/>
      <c r="L9" s="339"/>
    </row>
    <row r="10" spans="6:11" s="118" customFormat="1" ht="11.25">
      <c r="F10" s="117"/>
      <c r="G10" s="132"/>
      <c r="H10" s="134"/>
      <c r="I10" s="134"/>
      <c r="J10" s="123"/>
      <c r="K10" s="117"/>
    </row>
    <row r="11" spans="6:11" s="118" customFormat="1" ht="11.25">
      <c r="F11" s="117"/>
      <c r="G11" s="132"/>
      <c r="H11" s="135"/>
      <c r="I11" s="135"/>
      <c r="J11" s="123"/>
      <c r="K11" s="117"/>
    </row>
    <row r="12" spans="6:11" s="118" customFormat="1" ht="11.25">
      <c r="F12" s="117"/>
      <c r="G12" s="124"/>
      <c r="H12" s="124" t="s">
        <v>92</v>
      </c>
      <c r="I12" s="124"/>
      <c r="J12" s="125"/>
      <c r="K12" s="125"/>
    </row>
    <row r="13" spans="6:11" s="118" customFormat="1" ht="11.25">
      <c r="F13" s="117"/>
      <c r="G13" s="124"/>
      <c r="H13" s="126"/>
      <c r="I13" s="126"/>
      <c r="J13" s="125"/>
      <c r="K13" s="125"/>
    </row>
    <row r="14" spans="6:10" s="118" customFormat="1" ht="11.25">
      <c r="F14" s="117"/>
      <c r="G14" s="11"/>
      <c r="H14" s="127"/>
      <c r="I14" s="128"/>
      <c r="J14" s="59" t="str">
        <f>IF(fioRUK="","Руководитель не задан",fioRUK)</f>
        <v>Муравин Алексей Анатольевич</v>
      </c>
    </row>
    <row r="15" spans="6:10" s="120" customFormat="1" ht="11.25">
      <c r="F15" s="117"/>
      <c r="G15" s="579" t="s">
        <v>93</v>
      </c>
      <c r="H15" s="579"/>
      <c r="I15" s="579" t="s">
        <v>94</v>
      </c>
      <c r="J15" s="579"/>
    </row>
    <row r="16" spans="6:10" s="118" customFormat="1" ht="11.25">
      <c r="F16" s="119"/>
      <c r="G16" s="61" t="str">
        <f>IF(doljnDL="","Должность не задана",doljnDL)</f>
        <v>и.о. заместителя генерального директора по реализации услуг</v>
      </c>
      <c r="H16" s="129"/>
      <c r="I16" s="125"/>
      <c r="J16" s="59" t="str">
        <f>IF(fioDL="","Должностное лицо не задано",fioDL)</f>
        <v>Смышляева Елена Николаевна</v>
      </c>
    </row>
    <row r="17" spans="6:10" s="120" customFormat="1" ht="11.25">
      <c r="F17" s="117"/>
      <c r="G17" s="579" t="s">
        <v>95</v>
      </c>
      <c r="H17" s="579"/>
      <c r="I17" s="579" t="s">
        <v>94</v>
      </c>
      <c r="J17" s="579"/>
    </row>
    <row r="18" spans="6:10" s="118" customFormat="1" ht="11.25">
      <c r="F18" s="119"/>
      <c r="G18" s="65" t="str">
        <f>IF(DL_Tel&lt;&gt;"","Телефон: "&amp;DL_Tel&amp;", ","")&amp;IF(DL_email&lt;&gt;"","e-mail: "&amp;DL_email,"")</f>
        <v>Телефон: (88162)680112, e-mail: smen@nokes.natm.ru</v>
      </c>
      <c r="H18" s="130"/>
      <c r="I18" s="131"/>
      <c r="J18" s="131"/>
    </row>
    <row r="19" spans="6:10" s="120" customFormat="1" ht="11.25">
      <c r="F19" s="117"/>
      <c r="G19" s="579" t="s">
        <v>96</v>
      </c>
      <c r="H19" s="579"/>
      <c r="I19" s="128"/>
      <c r="J19" s="128"/>
    </row>
    <row r="20" spans="6:11" s="120" customFormat="1" ht="11.25">
      <c r="F20" s="119"/>
      <c r="G20" s="121"/>
      <c r="H20" s="136"/>
      <c r="I20" s="136"/>
      <c r="J20" s="122"/>
      <c r="K20" s="119"/>
    </row>
    <row r="21" spans="6:11" s="120" customFormat="1" ht="11.25">
      <c r="F21" s="119"/>
      <c r="G21" s="121"/>
      <c r="H21" s="136"/>
      <c r="I21" s="136"/>
      <c r="J21" s="122"/>
      <c r="K21" s="119"/>
    </row>
    <row r="22" spans="6:11" s="118" customFormat="1" ht="11.25">
      <c r="F22" s="119"/>
      <c r="G22" s="69"/>
      <c r="H22" s="133"/>
      <c r="I22" s="133"/>
      <c r="J22" s="70"/>
      <c r="K22" s="117"/>
    </row>
    <row r="25" ht="15" customHeight="1"/>
  </sheetData>
  <sheetProtection formatColumns="0" formatRows="0"/>
  <mergeCells count="7">
    <mergeCell ref="G19:H19"/>
    <mergeCell ref="G17:H17"/>
    <mergeCell ref="I17:J17"/>
    <mergeCell ref="G8:J8"/>
    <mergeCell ref="G9:I9"/>
    <mergeCell ref="G15:H15"/>
    <mergeCell ref="I15:J15"/>
  </mergeCells>
  <conditionalFormatting sqref="J20:J22 I14:I19 J9:J13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уровня надежности и качества поставляемых товаров и услуг</dc:title>
  <dc:subject>Расчет уровня надежности и качества поставляемых товаров и услуг</dc:subject>
  <dc:creator>--</dc:creator>
  <cp:keywords/>
  <dc:description/>
  <cp:lastModifiedBy>sakash</cp:lastModifiedBy>
  <cp:lastPrinted>2015-04-13T13:33:46Z</cp:lastPrinted>
  <dcterms:created xsi:type="dcterms:W3CDTF">2004-05-21T07:18:45Z</dcterms:created>
  <dcterms:modified xsi:type="dcterms:W3CDTF">2015-04-14T09:05:23Z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EE.CALC.QUALITY.FACT.7.28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